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886" i="1" l="1"/>
  <c r="F3886" i="1"/>
  <c r="E3886" i="1"/>
  <c r="D3886" i="1"/>
  <c r="B3886" i="1"/>
  <c r="A3886" i="1"/>
  <c r="G3885" i="1"/>
  <c r="F3885" i="1"/>
  <c r="E3885" i="1"/>
  <c r="D3885" i="1"/>
  <c r="B3885" i="1"/>
  <c r="A3885" i="1"/>
  <c r="G3884" i="1"/>
  <c r="F3884" i="1"/>
  <c r="E3884" i="1"/>
  <c r="D3884" i="1"/>
  <c r="B3884" i="1"/>
  <c r="A3884" i="1"/>
  <c r="G3883" i="1"/>
  <c r="F3883" i="1"/>
  <c r="E3883" i="1"/>
  <c r="D3883" i="1"/>
  <c r="B3883" i="1"/>
  <c r="A3883" i="1"/>
  <c r="G3882" i="1"/>
  <c r="F3882" i="1"/>
  <c r="E3882" i="1"/>
  <c r="D3882" i="1"/>
  <c r="B3882" i="1"/>
  <c r="A3882" i="1"/>
  <c r="G3881" i="1"/>
  <c r="F3881" i="1"/>
  <c r="E3881" i="1"/>
  <c r="D3881" i="1"/>
  <c r="B3881" i="1"/>
  <c r="A3881" i="1"/>
  <c r="G3880" i="1"/>
  <c r="F3880" i="1"/>
  <c r="E3880" i="1"/>
  <c r="D3880" i="1"/>
  <c r="B3880" i="1"/>
  <c r="A3880" i="1"/>
  <c r="G3879" i="1"/>
  <c r="F3879" i="1"/>
  <c r="E3879" i="1"/>
  <c r="D3879" i="1"/>
  <c r="B3879" i="1"/>
  <c r="A3879" i="1"/>
  <c r="G3878" i="1"/>
  <c r="F3878" i="1"/>
  <c r="E3878" i="1"/>
  <c r="D3878" i="1"/>
  <c r="B3878" i="1"/>
  <c r="A3878" i="1"/>
  <c r="G3877" i="1"/>
  <c r="F3877" i="1"/>
  <c r="E3877" i="1"/>
  <c r="D3877" i="1"/>
  <c r="B3877" i="1"/>
  <c r="A3877" i="1"/>
  <c r="G3876" i="1"/>
  <c r="F3876" i="1"/>
  <c r="E3876" i="1"/>
  <c r="D3876" i="1"/>
  <c r="B3876" i="1"/>
  <c r="G3875" i="1"/>
  <c r="F3875" i="1"/>
  <c r="E3875" i="1"/>
  <c r="D3875" i="1"/>
  <c r="B3875" i="1"/>
  <c r="A3875" i="1"/>
  <c r="G3874" i="1"/>
  <c r="F3874" i="1"/>
  <c r="E3874" i="1"/>
  <c r="D3874" i="1"/>
  <c r="B3874" i="1"/>
  <c r="A3874" i="1"/>
  <c r="G3873" i="1"/>
  <c r="F3873" i="1"/>
  <c r="E3873" i="1"/>
  <c r="D3873" i="1"/>
  <c r="B3873" i="1"/>
  <c r="A3873" i="1"/>
  <c r="G3872" i="1"/>
  <c r="F3872" i="1"/>
  <c r="E3872" i="1"/>
  <c r="D3872" i="1"/>
  <c r="B3872" i="1"/>
  <c r="A3872" i="1"/>
  <c r="G3871" i="1"/>
  <c r="F3871" i="1"/>
  <c r="E3871" i="1"/>
  <c r="D3871" i="1"/>
  <c r="B3871" i="1"/>
  <c r="A3871" i="1"/>
  <c r="G3870" i="1"/>
  <c r="F3870" i="1"/>
  <c r="E3870" i="1"/>
  <c r="D3870" i="1"/>
  <c r="B3870" i="1"/>
  <c r="A3870" i="1"/>
  <c r="G3869" i="1"/>
  <c r="F3869" i="1"/>
  <c r="E3869" i="1"/>
  <c r="D3869" i="1"/>
  <c r="B3869" i="1"/>
  <c r="A3869" i="1"/>
  <c r="G3868" i="1"/>
  <c r="F3868" i="1"/>
  <c r="E3868" i="1"/>
  <c r="D3868" i="1"/>
  <c r="B3868" i="1"/>
  <c r="A3868" i="1"/>
  <c r="G3867" i="1"/>
  <c r="F3867" i="1"/>
  <c r="E3867" i="1"/>
  <c r="D3867" i="1"/>
  <c r="B3867" i="1"/>
  <c r="A3867" i="1"/>
  <c r="G3866" i="1"/>
  <c r="F3866" i="1"/>
  <c r="E3866" i="1"/>
  <c r="D3866" i="1"/>
  <c r="B3866" i="1"/>
  <c r="A3866" i="1"/>
  <c r="G3865" i="1"/>
  <c r="F3865" i="1"/>
  <c r="E3865" i="1"/>
  <c r="D3865" i="1"/>
  <c r="B3865" i="1"/>
  <c r="A3865" i="1"/>
  <c r="G3864" i="1"/>
  <c r="F3864" i="1"/>
  <c r="E3864" i="1"/>
  <c r="D3864" i="1"/>
  <c r="B3864" i="1"/>
  <c r="A3864" i="1"/>
  <c r="G3863" i="1"/>
  <c r="F3863" i="1"/>
  <c r="E3863" i="1"/>
  <c r="D3863" i="1"/>
  <c r="B3863" i="1"/>
  <c r="A3863" i="1"/>
  <c r="G3862" i="1"/>
  <c r="F3862" i="1"/>
  <c r="E3862" i="1"/>
  <c r="D3862" i="1"/>
  <c r="B3862" i="1"/>
  <c r="A3862" i="1"/>
  <c r="G3861" i="1"/>
  <c r="F3861" i="1"/>
  <c r="E3861" i="1"/>
  <c r="D3861" i="1"/>
  <c r="B3861" i="1"/>
  <c r="A3861" i="1"/>
  <c r="G3860" i="1"/>
  <c r="F3860" i="1"/>
  <c r="E3860" i="1"/>
  <c r="D3860" i="1"/>
  <c r="B3860" i="1"/>
  <c r="A3860" i="1"/>
  <c r="G3859" i="1"/>
  <c r="F3859" i="1"/>
  <c r="E3859" i="1"/>
  <c r="D3859" i="1"/>
  <c r="B3859" i="1"/>
  <c r="A3859" i="1"/>
  <c r="G3858" i="1"/>
  <c r="F3858" i="1"/>
  <c r="E3858" i="1"/>
  <c r="D3858" i="1"/>
  <c r="B3858" i="1"/>
  <c r="A3858" i="1"/>
  <c r="G3857" i="1"/>
  <c r="F3857" i="1"/>
  <c r="E3857" i="1"/>
  <c r="D3857" i="1"/>
  <c r="B3857" i="1"/>
  <c r="A3857" i="1"/>
  <c r="G3856" i="1"/>
  <c r="F3856" i="1"/>
  <c r="E3856" i="1"/>
  <c r="D3856" i="1"/>
  <c r="B3856" i="1"/>
  <c r="A3856" i="1"/>
  <c r="G3855" i="1"/>
  <c r="F3855" i="1"/>
  <c r="E3855" i="1"/>
  <c r="D3855" i="1"/>
  <c r="B3855" i="1"/>
  <c r="A3855" i="1"/>
  <c r="G3854" i="1"/>
  <c r="F3854" i="1"/>
  <c r="E3854" i="1"/>
  <c r="D3854" i="1"/>
  <c r="B3854" i="1"/>
  <c r="A3854" i="1"/>
  <c r="G3853" i="1"/>
  <c r="F3853" i="1"/>
  <c r="E3853" i="1"/>
  <c r="D3853" i="1"/>
  <c r="B3853" i="1"/>
  <c r="A3853" i="1"/>
  <c r="G3852" i="1"/>
  <c r="F3852" i="1"/>
  <c r="E3852" i="1"/>
  <c r="D3852" i="1"/>
  <c r="B3852" i="1"/>
  <c r="A3852" i="1"/>
  <c r="G3851" i="1"/>
  <c r="F3851" i="1"/>
  <c r="E3851" i="1"/>
  <c r="D3851" i="1"/>
  <c r="B3851" i="1"/>
  <c r="A3851" i="1"/>
  <c r="G3850" i="1"/>
  <c r="F3850" i="1"/>
  <c r="E3850" i="1"/>
  <c r="D3850" i="1"/>
  <c r="B3850" i="1"/>
  <c r="A3850" i="1"/>
  <c r="G3849" i="1"/>
  <c r="F3849" i="1"/>
  <c r="E3849" i="1"/>
  <c r="D3849" i="1"/>
  <c r="B3849" i="1"/>
  <c r="A3849" i="1"/>
  <c r="G3848" i="1"/>
  <c r="F3848" i="1"/>
  <c r="E3848" i="1"/>
  <c r="D3848" i="1"/>
  <c r="B3848" i="1"/>
  <c r="A3848" i="1"/>
  <c r="G3847" i="1"/>
  <c r="F3847" i="1"/>
  <c r="E3847" i="1"/>
  <c r="D3847" i="1"/>
  <c r="B3847" i="1"/>
  <c r="A3847" i="1"/>
  <c r="G3846" i="1"/>
  <c r="F3846" i="1"/>
  <c r="E3846" i="1"/>
  <c r="D3846" i="1"/>
  <c r="B3846" i="1"/>
  <c r="A3846" i="1"/>
  <c r="G3845" i="1"/>
  <c r="F3845" i="1"/>
  <c r="E3845" i="1"/>
  <c r="D3845" i="1"/>
  <c r="B3845" i="1"/>
  <c r="A3845" i="1"/>
  <c r="G3844" i="1"/>
  <c r="F3844" i="1"/>
  <c r="E3844" i="1"/>
  <c r="D3844" i="1"/>
  <c r="B3844" i="1"/>
  <c r="A3844" i="1"/>
  <c r="G3843" i="1"/>
  <c r="F3843" i="1"/>
  <c r="E3843" i="1"/>
  <c r="D3843" i="1"/>
  <c r="B3843" i="1"/>
  <c r="A3843" i="1"/>
  <c r="G3842" i="1"/>
  <c r="F3842" i="1"/>
  <c r="E3842" i="1"/>
  <c r="D3842" i="1"/>
  <c r="B3842" i="1"/>
  <c r="A3842" i="1"/>
  <c r="G3841" i="1"/>
  <c r="F3841" i="1"/>
  <c r="E3841" i="1"/>
  <c r="D3841" i="1"/>
  <c r="B3841" i="1"/>
  <c r="A3841" i="1"/>
  <c r="G3840" i="1"/>
  <c r="F3840" i="1"/>
  <c r="E3840" i="1"/>
  <c r="D3840" i="1"/>
  <c r="B3840" i="1"/>
  <c r="A3840" i="1"/>
  <c r="G3839" i="1"/>
  <c r="F3839" i="1"/>
  <c r="E3839" i="1"/>
  <c r="D3839" i="1"/>
  <c r="B3839" i="1"/>
  <c r="A3839" i="1"/>
  <c r="G3838" i="1"/>
  <c r="F3838" i="1"/>
  <c r="E3838" i="1"/>
  <c r="D3838" i="1"/>
  <c r="B3838" i="1"/>
  <c r="A3838" i="1"/>
  <c r="G3837" i="1"/>
  <c r="F3837" i="1"/>
  <c r="E3837" i="1"/>
  <c r="D3837" i="1"/>
  <c r="B3837" i="1"/>
  <c r="A3837" i="1"/>
  <c r="G3836" i="1"/>
  <c r="F3836" i="1"/>
  <c r="E3836" i="1"/>
  <c r="D3836" i="1"/>
  <c r="B3836" i="1"/>
  <c r="A3836" i="1"/>
  <c r="G3835" i="1"/>
  <c r="F3835" i="1"/>
  <c r="E3835" i="1"/>
  <c r="D3835" i="1"/>
  <c r="B3835" i="1"/>
  <c r="A3835" i="1"/>
  <c r="G3834" i="1"/>
  <c r="F3834" i="1"/>
  <c r="E3834" i="1"/>
  <c r="D3834" i="1"/>
  <c r="B3834" i="1"/>
  <c r="A3834" i="1"/>
  <c r="G3833" i="1"/>
  <c r="F3833" i="1"/>
  <c r="E3833" i="1"/>
  <c r="D3833" i="1"/>
  <c r="B3833" i="1"/>
  <c r="A3833" i="1"/>
  <c r="G3832" i="1"/>
  <c r="F3832" i="1"/>
  <c r="E3832" i="1"/>
  <c r="D3832" i="1"/>
  <c r="B3832" i="1"/>
  <c r="A3832" i="1"/>
  <c r="G3831" i="1"/>
  <c r="F3831" i="1"/>
  <c r="E3831" i="1"/>
  <c r="D3831" i="1"/>
  <c r="B3831" i="1"/>
  <c r="A3831" i="1"/>
  <c r="G3830" i="1"/>
  <c r="F3830" i="1"/>
  <c r="E3830" i="1"/>
  <c r="D3830" i="1"/>
  <c r="B3830" i="1"/>
  <c r="A3830" i="1"/>
  <c r="G3829" i="1"/>
  <c r="F3829" i="1"/>
  <c r="E3829" i="1"/>
  <c r="D3829" i="1"/>
  <c r="B3829" i="1"/>
  <c r="A3829" i="1"/>
  <c r="G3828" i="1"/>
  <c r="F3828" i="1"/>
  <c r="E3828" i="1"/>
  <c r="D3828" i="1"/>
  <c r="B3828" i="1"/>
  <c r="A3828" i="1"/>
  <c r="G3827" i="1"/>
  <c r="F3827" i="1"/>
  <c r="E3827" i="1"/>
  <c r="D3827" i="1"/>
  <c r="B3827" i="1"/>
  <c r="A3827" i="1"/>
  <c r="G3826" i="1"/>
  <c r="F3826" i="1"/>
  <c r="E3826" i="1"/>
  <c r="D3826" i="1"/>
  <c r="B3826" i="1"/>
  <c r="A3826" i="1"/>
  <c r="G3825" i="1"/>
  <c r="F3825" i="1"/>
  <c r="E3825" i="1"/>
  <c r="D3825" i="1"/>
  <c r="B3825" i="1"/>
  <c r="A3825" i="1"/>
  <c r="G3824" i="1"/>
  <c r="F3824" i="1"/>
  <c r="E3824" i="1"/>
  <c r="D3824" i="1"/>
  <c r="B3824" i="1"/>
  <c r="A3824" i="1"/>
  <c r="G3823" i="1"/>
  <c r="F3823" i="1"/>
  <c r="E3823" i="1"/>
  <c r="D3823" i="1"/>
  <c r="B3823" i="1"/>
  <c r="A3823" i="1"/>
  <c r="G3822" i="1"/>
  <c r="F3822" i="1"/>
  <c r="E3822" i="1"/>
  <c r="D3822" i="1"/>
  <c r="B3822" i="1"/>
  <c r="A3822" i="1"/>
  <c r="G3821" i="1"/>
  <c r="F3821" i="1"/>
  <c r="E3821" i="1"/>
  <c r="D3821" i="1"/>
  <c r="B3821" i="1"/>
  <c r="A3821" i="1"/>
  <c r="G3820" i="1"/>
  <c r="F3820" i="1"/>
  <c r="E3820" i="1"/>
  <c r="D3820" i="1"/>
  <c r="B3820" i="1"/>
  <c r="A3820" i="1"/>
  <c r="G3819" i="1"/>
  <c r="F3819" i="1"/>
  <c r="E3819" i="1"/>
  <c r="D3819" i="1"/>
  <c r="B3819" i="1"/>
  <c r="A3819" i="1"/>
  <c r="G3818" i="1"/>
  <c r="F3818" i="1"/>
  <c r="E3818" i="1"/>
  <c r="D3818" i="1"/>
  <c r="B3818" i="1"/>
  <c r="A3818" i="1"/>
  <c r="G3817" i="1"/>
  <c r="F3817" i="1"/>
  <c r="E3817" i="1"/>
  <c r="D3817" i="1"/>
  <c r="B3817" i="1"/>
  <c r="A3817" i="1"/>
  <c r="G3816" i="1"/>
  <c r="F3816" i="1"/>
  <c r="E3816" i="1"/>
  <c r="D3816" i="1"/>
  <c r="B3816" i="1"/>
  <c r="A3816" i="1"/>
  <c r="G3815" i="1"/>
  <c r="F3815" i="1"/>
  <c r="E3815" i="1"/>
  <c r="D3815" i="1"/>
  <c r="B3815" i="1"/>
  <c r="A3815" i="1"/>
  <c r="G3814" i="1"/>
  <c r="F3814" i="1"/>
  <c r="E3814" i="1"/>
  <c r="D3814" i="1"/>
  <c r="B3814" i="1"/>
  <c r="A3814" i="1"/>
  <c r="G3813" i="1"/>
  <c r="F3813" i="1"/>
  <c r="E3813" i="1"/>
  <c r="D3813" i="1"/>
  <c r="B3813" i="1"/>
  <c r="A3813" i="1"/>
  <c r="G3812" i="1"/>
  <c r="F3812" i="1"/>
  <c r="E3812" i="1"/>
  <c r="D3812" i="1"/>
  <c r="B3812" i="1"/>
  <c r="A3812" i="1"/>
  <c r="G3811" i="1"/>
  <c r="F3811" i="1"/>
  <c r="E3811" i="1"/>
  <c r="D3811" i="1"/>
  <c r="B3811" i="1"/>
  <c r="A3811" i="1"/>
  <c r="G3810" i="1"/>
  <c r="F3810" i="1"/>
  <c r="E3810" i="1"/>
  <c r="D3810" i="1"/>
  <c r="B3810" i="1"/>
  <c r="A3810" i="1"/>
  <c r="G3809" i="1"/>
  <c r="F3809" i="1"/>
  <c r="E3809" i="1"/>
  <c r="D3809" i="1"/>
  <c r="B3809" i="1"/>
  <c r="A3809" i="1"/>
  <c r="G3808" i="1"/>
  <c r="F3808" i="1"/>
  <c r="E3808" i="1"/>
  <c r="D3808" i="1"/>
  <c r="B3808" i="1"/>
  <c r="A3808" i="1"/>
  <c r="G3807" i="1"/>
  <c r="F3807" i="1"/>
  <c r="E3807" i="1"/>
  <c r="D3807" i="1"/>
  <c r="B3807" i="1"/>
  <c r="A3807" i="1"/>
  <c r="G3806" i="1"/>
  <c r="F3806" i="1"/>
  <c r="E3806" i="1"/>
  <c r="D3806" i="1"/>
  <c r="B3806" i="1"/>
  <c r="A3806" i="1"/>
  <c r="G3805" i="1"/>
  <c r="F3805" i="1"/>
  <c r="E3805" i="1"/>
  <c r="D3805" i="1"/>
  <c r="B3805" i="1"/>
  <c r="A3805" i="1"/>
  <c r="G3804" i="1"/>
  <c r="F3804" i="1"/>
  <c r="E3804" i="1"/>
  <c r="D3804" i="1"/>
  <c r="B3804" i="1"/>
  <c r="A3804" i="1"/>
  <c r="G3803" i="1"/>
  <c r="F3803" i="1"/>
  <c r="E3803" i="1"/>
  <c r="D3803" i="1"/>
  <c r="B3803" i="1"/>
  <c r="A3803" i="1"/>
  <c r="G3802" i="1"/>
  <c r="F3802" i="1"/>
  <c r="E3802" i="1"/>
  <c r="D3802" i="1"/>
  <c r="B3802" i="1"/>
  <c r="A3802" i="1"/>
  <c r="G3801" i="1"/>
  <c r="F3801" i="1"/>
  <c r="E3801" i="1"/>
  <c r="D3801" i="1"/>
  <c r="B3801" i="1"/>
  <c r="A3801" i="1"/>
  <c r="G3800" i="1"/>
  <c r="F3800" i="1"/>
  <c r="E3800" i="1"/>
  <c r="D3800" i="1"/>
  <c r="B3800" i="1"/>
  <c r="A3800" i="1"/>
  <c r="G3799" i="1"/>
  <c r="F3799" i="1"/>
  <c r="E3799" i="1"/>
  <c r="D3799" i="1"/>
  <c r="B3799" i="1"/>
  <c r="A3799" i="1"/>
  <c r="G3798" i="1"/>
  <c r="F3798" i="1"/>
  <c r="E3798" i="1"/>
  <c r="D3798" i="1"/>
  <c r="B3798" i="1"/>
  <c r="A3798" i="1"/>
  <c r="G3797" i="1"/>
  <c r="F3797" i="1"/>
  <c r="E3797" i="1"/>
  <c r="D3797" i="1"/>
  <c r="B3797" i="1"/>
  <c r="A3797" i="1"/>
  <c r="G3796" i="1"/>
  <c r="F3796" i="1"/>
  <c r="E3796" i="1"/>
  <c r="D3796" i="1"/>
  <c r="B3796" i="1"/>
  <c r="A3796" i="1"/>
  <c r="G3795" i="1"/>
  <c r="F3795" i="1"/>
  <c r="E3795" i="1"/>
  <c r="D3795" i="1"/>
  <c r="B3795" i="1"/>
  <c r="A3795" i="1"/>
  <c r="G3794" i="1"/>
  <c r="F3794" i="1"/>
  <c r="E3794" i="1"/>
  <c r="D3794" i="1"/>
  <c r="B3794" i="1"/>
  <c r="A3794" i="1"/>
  <c r="G3793" i="1"/>
  <c r="F3793" i="1"/>
  <c r="E3793" i="1"/>
  <c r="D3793" i="1"/>
  <c r="B3793" i="1"/>
  <c r="A3793" i="1"/>
  <c r="G3792" i="1"/>
  <c r="F3792" i="1"/>
  <c r="E3792" i="1"/>
  <c r="D3792" i="1"/>
  <c r="B3792" i="1"/>
  <c r="A3792" i="1"/>
  <c r="G3791" i="1"/>
  <c r="F3791" i="1"/>
  <c r="E3791" i="1"/>
  <c r="D3791" i="1"/>
  <c r="B3791" i="1"/>
  <c r="A3791" i="1"/>
  <c r="G3790" i="1"/>
  <c r="F3790" i="1"/>
  <c r="E3790" i="1"/>
  <c r="D3790" i="1"/>
  <c r="B3790" i="1"/>
  <c r="A3790" i="1"/>
  <c r="G3789" i="1"/>
  <c r="F3789" i="1"/>
  <c r="E3789" i="1"/>
  <c r="D3789" i="1"/>
  <c r="B3789" i="1"/>
  <c r="A3789" i="1"/>
  <c r="G3788" i="1"/>
  <c r="F3788" i="1"/>
  <c r="E3788" i="1"/>
  <c r="D3788" i="1"/>
  <c r="B3788" i="1"/>
  <c r="A3788" i="1"/>
  <c r="G3787" i="1"/>
  <c r="F3787" i="1"/>
  <c r="E3787" i="1"/>
  <c r="D3787" i="1"/>
  <c r="B3787" i="1"/>
  <c r="A3787" i="1"/>
  <c r="G3786" i="1"/>
  <c r="F3786" i="1"/>
  <c r="E3786" i="1"/>
  <c r="D3786" i="1"/>
  <c r="B3786" i="1"/>
  <c r="A3786" i="1"/>
  <c r="G3785" i="1"/>
  <c r="F3785" i="1"/>
  <c r="E3785" i="1"/>
  <c r="D3785" i="1"/>
  <c r="B3785" i="1"/>
  <c r="A3785" i="1"/>
  <c r="G3784" i="1"/>
  <c r="F3784" i="1"/>
  <c r="E3784" i="1"/>
  <c r="D3784" i="1"/>
  <c r="B3784" i="1"/>
  <c r="A3784" i="1"/>
  <c r="G3783" i="1"/>
  <c r="F3783" i="1"/>
  <c r="E3783" i="1"/>
  <c r="D3783" i="1"/>
  <c r="B3783" i="1"/>
  <c r="A3783" i="1"/>
  <c r="G3782" i="1"/>
  <c r="F3782" i="1"/>
  <c r="E3782" i="1"/>
  <c r="D3782" i="1"/>
  <c r="B3782" i="1"/>
  <c r="A3782" i="1"/>
  <c r="G3781" i="1"/>
  <c r="F3781" i="1"/>
  <c r="E3781" i="1"/>
  <c r="D3781" i="1"/>
  <c r="B3781" i="1"/>
  <c r="A3781" i="1"/>
  <c r="G3780" i="1"/>
  <c r="F3780" i="1"/>
  <c r="E3780" i="1"/>
  <c r="D3780" i="1"/>
  <c r="B3780" i="1"/>
  <c r="A3780" i="1"/>
  <c r="G3779" i="1"/>
  <c r="F3779" i="1"/>
  <c r="E3779" i="1"/>
  <c r="D3779" i="1"/>
  <c r="B3779" i="1"/>
  <c r="A3779" i="1"/>
  <c r="G3778" i="1"/>
  <c r="F3778" i="1"/>
  <c r="E3778" i="1"/>
  <c r="D3778" i="1"/>
  <c r="B3778" i="1"/>
  <c r="A3778" i="1"/>
  <c r="G3777" i="1"/>
  <c r="F3777" i="1"/>
  <c r="E3777" i="1"/>
  <c r="D3777" i="1"/>
  <c r="B3777" i="1"/>
  <c r="A3777" i="1"/>
  <c r="G3776" i="1"/>
  <c r="F3776" i="1"/>
  <c r="E3776" i="1"/>
  <c r="D3776" i="1"/>
  <c r="B3776" i="1"/>
  <c r="A3776" i="1"/>
  <c r="G3775" i="1"/>
  <c r="F3775" i="1"/>
  <c r="E3775" i="1"/>
  <c r="D3775" i="1"/>
  <c r="B3775" i="1"/>
  <c r="A3775" i="1"/>
  <c r="G3774" i="1"/>
  <c r="F3774" i="1"/>
  <c r="E3774" i="1"/>
  <c r="D3774" i="1"/>
  <c r="B3774" i="1"/>
  <c r="A3774" i="1"/>
  <c r="G3773" i="1"/>
  <c r="F3773" i="1"/>
  <c r="E3773" i="1"/>
  <c r="D3773" i="1"/>
  <c r="B3773" i="1"/>
  <c r="A3773" i="1"/>
  <c r="G3772" i="1"/>
  <c r="F3772" i="1"/>
  <c r="E3772" i="1"/>
  <c r="D3772" i="1"/>
  <c r="B3772" i="1"/>
  <c r="A3772" i="1"/>
  <c r="G3771" i="1"/>
  <c r="F3771" i="1"/>
  <c r="E3771" i="1"/>
  <c r="D3771" i="1"/>
  <c r="B3771" i="1"/>
  <c r="A3771" i="1"/>
  <c r="G3770" i="1"/>
  <c r="F3770" i="1"/>
  <c r="E3770" i="1"/>
  <c r="D3770" i="1"/>
  <c r="B3770" i="1"/>
  <c r="A3770" i="1"/>
  <c r="G3769" i="1"/>
  <c r="F3769" i="1"/>
  <c r="E3769" i="1"/>
  <c r="D3769" i="1"/>
  <c r="B3769" i="1"/>
  <c r="A3769" i="1"/>
  <c r="G3768" i="1"/>
  <c r="F3768" i="1"/>
  <c r="E3768" i="1"/>
  <c r="D3768" i="1"/>
  <c r="B3768" i="1"/>
  <c r="A3768" i="1"/>
  <c r="G3767" i="1"/>
  <c r="F3767" i="1"/>
  <c r="E3767" i="1"/>
  <c r="D3767" i="1"/>
  <c r="B3767" i="1"/>
  <c r="A3767" i="1"/>
  <c r="G3766" i="1"/>
  <c r="F3766" i="1"/>
  <c r="E3766" i="1"/>
  <c r="D3766" i="1"/>
  <c r="B3766" i="1"/>
  <c r="A3766" i="1"/>
  <c r="G3765" i="1"/>
  <c r="F3765" i="1"/>
  <c r="E3765" i="1"/>
  <c r="D3765" i="1"/>
  <c r="B3765" i="1"/>
  <c r="A3765" i="1"/>
  <c r="G3764" i="1"/>
  <c r="F3764" i="1"/>
  <c r="E3764" i="1"/>
  <c r="D3764" i="1"/>
  <c r="B3764" i="1"/>
  <c r="A3764" i="1"/>
  <c r="G3763" i="1"/>
  <c r="F3763" i="1"/>
  <c r="E3763" i="1"/>
  <c r="D3763" i="1"/>
  <c r="B3763" i="1"/>
  <c r="A3763" i="1"/>
  <c r="G3762" i="1"/>
  <c r="F3762" i="1"/>
  <c r="E3762" i="1"/>
  <c r="D3762" i="1"/>
  <c r="B3762" i="1"/>
  <c r="A3762" i="1"/>
  <c r="G3761" i="1"/>
  <c r="F3761" i="1"/>
  <c r="E3761" i="1"/>
  <c r="D3761" i="1"/>
  <c r="B3761" i="1"/>
  <c r="A3761" i="1"/>
  <c r="G3760" i="1"/>
  <c r="F3760" i="1"/>
  <c r="E3760" i="1"/>
  <c r="D3760" i="1"/>
  <c r="B3760" i="1"/>
  <c r="A3760" i="1"/>
  <c r="G3759" i="1"/>
  <c r="F3759" i="1"/>
  <c r="E3759" i="1"/>
  <c r="D3759" i="1"/>
  <c r="B3759" i="1"/>
  <c r="A3759" i="1"/>
  <c r="G3758" i="1"/>
  <c r="F3758" i="1"/>
  <c r="E3758" i="1"/>
  <c r="D3758" i="1"/>
  <c r="B3758" i="1"/>
  <c r="A3758" i="1"/>
  <c r="G3757" i="1"/>
  <c r="F3757" i="1"/>
  <c r="E3757" i="1"/>
  <c r="D3757" i="1"/>
  <c r="B3757" i="1"/>
  <c r="A3757" i="1"/>
  <c r="G3756" i="1"/>
  <c r="F3756" i="1"/>
  <c r="E3756" i="1"/>
  <c r="D3756" i="1"/>
  <c r="B3756" i="1"/>
  <c r="A3756" i="1"/>
  <c r="G3755" i="1"/>
  <c r="F3755" i="1"/>
  <c r="E3755" i="1"/>
  <c r="D3755" i="1"/>
  <c r="B3755" i="1"/>
  <c r="A3755" i="1"/>
  <c r="G3754" i="1"/>
  <c r="F3754" i="1"/>
  <c r="E3754" i="1"/>
  <c r="D3754" i="1"/>
  <c r="B3754" i="1"/>
  <c r="A3754" i="1"/>
  <c r="G3753" i="1"/>
  <c r="F3753" i="1"/>
  <c r="E3753" i="1"/>
  <c r="D3753" i="1"/>
  <c r="B3753" i="1"/>
  <c r="A3753" i="1"/>
  <c r="G3752" i="1"/>
  <c r="F3752" i="1"/>
  <c r="E3752" i="1"/>
  <c r="D3752" i="1"/>
  <c r="B3752" i="1"/>
  <c r="A3752" i="1"/>
  <c r="G3751" i="1"/>
  <c r="F3751" i="1"/>
  <c r="E3751" i="1"/>
  <c r="D3751" i="1"/>
  <c r="B3751" i="1"/>
  <c r="A3751" i="1"/>
  <c r="G3750" i="1"/>
  <c r="F3750" i="1"/>
  <c r="E3750" i="1"/>
  <c r="D3750" i="1"/>
  <c r="B3750" i="1"/>
  <c r="A3750" i="1"/>
  <c r="G3749" i="1"/>
  <c r="F3749" i="1"/>
  <c r="E3749" i="1"/>
  <c r="D3749" i="1"/>
  <c r="B3749" i="1"/>
  <c r="A3749" i="1"/>
  <c r="G3748" i="1"/>
  <c r="F3748" i="1"/>
  <c r="E3748" i="1"/>
  <c r="D3748" i="1"/>
  <c r="B3748" i="1"/>
  <c r="A3748" i="1"/>
  <c r="G3747" i="1"/>
  <c r="F3747" i="1"/>
  <c r="E3747" i="1"/>
  <c r="D3747" i="1"/>
  <c r="B3747" i="1"/>
  <c r="A3747" i="1"/>
  <c r="G3746" i="1"/>
  <c r="F3746" i="1"/>
  <c r="E3746" i="1"/>
  <c r="D3746" i="1"/>
  <c r="B3746" i="1"/>
  <c r="A3746" i="1"/>
  <c r="G3745" i="1"/>
  <c r="F3745" i="1"/>
  <c r="E3745" i="1"/>
  <c r="D3745" i="1"/>
  <c r="B3745" i="1"/>
  <c r="A3745" i="1"/>
  <c r="G3744" i="1"/>
  <c r="F3744" i="1"/>
  <c r="E3744" i="1"/>
  <c r="D3744" i="1"/>
  <c r="B3744" i="1"/>
  <c r="A3744" i="1"/>
  <c r="G3743" i="1"/>
  <c r="F3743" i="1"/>
  <c r="E3743" i="1"/>
  <c r="D3743" i="1"/>
  <c r="B3743" i="1"/>
  <c r="A3743" i="1"/>
  <c r="G3742" i="1"/>
  <c r="F3742" i="1"/>
  <c r="E3742" i="1"/>
  <c r="D3742" i="1"/>
  <c r="B3742" i="1"/>
  <c r="A3742" i="1"/>
  <c r="G3741" i="1"/>
  <c r="F3741" i="1"/>
  <c r="E3741" i="1"/>
  <c r="D3741" i="1"/>
  <c r="B3741" i="1"/>
  <c r="A3741" i="1"/>
  <c r="G3740" i="1"/>
  <c r="F3740" i="1"/>
  <c r="E3740" i="1"/>
  <c r="D3740" i="1"/>
  <c r="B3740" i="1"/>
  <c r="A3740" i="1"/>
  <c r="G3739" i="1"/>
  <c r="F3739" i="1"/>
  <c r="E3739" i="1"/>
  <c r="D3739" i="1"/>
  <c r="B3739" i="1"/>
  <c r="A3739" i="1"/>
  <c r="G3738" i="1"/>
  <c r="F3738" i="1"/>
  <c r="E3738" i="1"/>
  <c r="D3738" i="1"/>
  <c r="B3738" i="1"/>
  <c r="A3738" i="1"/>
  <c r="G3737" i="1"/>
  <c r="F3737" i="1"/>
  <c r="E3737" i="1"/>
  <c r="D3737" i="1"/>
  <c r="B3737" i="1"/>
  <c r="A3737" i="1"/>
  <c r="G3736" i="1"/>
  <c r="F3736" i="1"/>
  <c r="E3736" i="1"/>
  <c r="D3736" i="1"/>
  <c r="B3736" i="1"/>
  <c r="A3736" i="1"/>
  <c r="G3735" i="1"/>
  <c r="F3735" i="1"/>
  <c r="E3735" i="1"/>
  <c r="D3735" i="1"/>
  <c r="B3735" i="1"/>
  <c r="A3735" i="1"/>
  <c r="G3734" i="1"/>
  <c r="F3734" i="1"/>
  <c r="E3734" i="1"/>
  <c r="D3734" i="1"/>
  <c r="B3734" i="1"/>
  <c r="A3734" i="1"/>
  <c r="G3733" i="1"/>
  <c r="F3733" i="1"/>
  <c r="E3733" i="1"/>
  <c r="D3733" i="1"/>
  <c r="B3733" i="1"/>
  <c r="A3733" i="1"/>
  <c r="G3732" i="1"/>
  <c r="F3732" i="1"/>
  <c r="E3732" i="1"/>
  <c r="D3732" i="1"/>
  <c r="B3732" i="1"/>
  <c r="A3732" i="1"/>
  <c r="G3731" i="1"/>
  <c r="F3731" i="1"/>
  <c r="E3731" i="1"/>
  <c r="D3731" i="1"/>
  <c r="B3731" i="1"/>
  <c r="A3731" i="1"/>
  <c r="G3730" i="1"/>
  <c r="F3730" i="1"/>
  <c r="E3730" i="1"/>
  <c r="D3730" i="1"/>
  <c r="B3730" i="1"/>
  <c r="A3730" i="1"/>
  <c r="G3729" i="1"/>
  <c r="F3729" i="1"/>
  <c r="E3729" i="1"/>
  <c r="D3729" i="1"/>
  <c r="B3729" i="1"/>
  <c r="A3729" i="1"/>
  <c r="G3728" i="1"/>
  <c r="F3728" i="1"/>
  <c r="E3728" i="1"/>
  <c r="D3728" i="1"/>
  <c r="B3728" i="1"/>
  <c r="A3728" i="1"/>
  <c r="G3727" i="1"/>
  <c r="F3727" i="1"/>
  <c r="E3727" i="1"/>
  <c r="D3727" i="1"/>
  <c r="B3727" i="1"/>
  <c r="A3727" i="1"/>
  <c r="G3726" i="1"/>
  <c r="F3726" i="1"/>
  <c r="E3726" i="1"/>
  <c r="D3726" i="1"/>
  <c r="B3726" i="1"/>
  <c r="A3726" i="1"/>
  <c r="G3725" i="1"/>
  <c r="F3725" i="1"/>
  <c r="E3725" i="1"/>
  <c r="D3725" i="1"/>
  <c r="B3725" i="1"/>
  <c r="A3725" i="1"/>
  <c r="G3724" i="1"/>
  <c r="F3724" i="1"/>
  <c r="E3724" i="1"/>
  <c r="D3724" i="1"/>
  <c r="B3724" i="1"/>
  <c r="A3724" i="1"/>
  <c r="G3723" i="1"/>
  <c r="F3723" i="1"/>
  <c r="E3723" i="1"/>
  <c r="D3723" i="1"/>
  <c r="B3723" i="1"/>
  <c r="A3723" i="1"/>
  <c r="G3722" i="1"/>
  <c r="F3722" i="1"/>
  <c r="E3722" i="1"/>
  <c r="D3722" i="1"/>
  <c r="B3722" i="1"/>
  <c r="A3722" i="1"/>
  <c r="G3721" i="1"/>
  <c r="F3721" i="1"/>
  <c r="E3721" i="1"/>
  <c r="D3721" i="1"/>
  <c r="B3721" i="1"/>
  <c r="A3721" i="1"/>
  <c r="G3720" i="1"/>
  <c r="F3720" i="1"/>
  <c r="E3720" i="1"/>
  <c r="D3720" i="1"/>
  <c r="B3720" i="1"/>
  <c r="A3720" i="1"/>
  <c r="G3719" i="1"/>
  <c r="F3719" i="1"/>
  <c r="E3719" i="1"/>
  <c r="D3719" i="1"/>
  <c r="B3719" i="1"/>
  <c r="A3719" i="1"/>
  <c r="G3718" i="1"/>
  <c r="F3718" i="1"/>
  <c r="E3718" i="1"/>
  <c r="D3718" i="1"/>
  <c r="B3718" i="1"/>
  <c r="A3718" i="1"/>
  <c r="G3717" i="1"/>
  <c r="F3717" i="1"/>
  <c r="E3717" i="1"/>
  <c r="D3717" i="1"/>
  <c r="B3717" i="1"/>
  <c r="A3717" i="1"/>
  <c r="G3716" i="1"/>
  <c r="F3716" i="1"/>
  <c r="E3716" i="1"/>
  <c r="D3716" i="1"/>
  <c r="B3716" i="1"/>
  <c r="A3716" i="1"/>
  <c r="G3715" i="1"/>
  <c r="F3715" i="1"/>
  <c r="E3715" i="1"/>
  <c r="D3715" i="1"/>
  <c r="B3715" i="1"/>
  <c r="A3715" i="1"/>
  <c r="G3714" i="1"/>
  <c r="F3714" i="1"/>
  <c r="E3714" i="1"/>
  <c r="D3714" i="1"/>
  <c r="B3714" i="1"/>
  <c r="A3714" i="1"/>
  <c r="G3713" i="1"/>
  <c r="F3713" i="1"/>
  <c r="E3713" i="1"/>
  <c r="D3713" i="1"/>
  <c r="B3713" i="1"/>
  <c r="A3713" i="1"/>
  <c r="G3712" i="1"/>
  <c r="F3712" i="1"/>
  <c r="E3712" i="1"/>
  <c r="D3712" i="1"/>
  <c r="B3712" i="1"/>
  <c r="A3712" i="1"/>
  <c r="G3711" i="1"/>
  <c r="F3711" i="1"/>
  <c r="E3711" i="1"/>
  <c r="D3711" i="1"/>
  <c r="B3711" i="1"/>
  <c r="A3711" i="1"/>
  <c r="G3710" i="1"/>
  <c r="F3710" i="1"/>
  <c r="E3710" i="1"/>
  <c r="D3710" i="1"/>
  <c r="B3710" i="1"/>
  <c r="A3710" i="1"/>
  <c r="G3709" i="1"/>
  <c r="F3709" i="1"/>
  <c r="E3709" i="1"/>
  <c r="D3709" i="1"/>
  <c r="B3709" i="1"/>
  <c r="A3709" i="1"/>
  <c r="G3708" i="1"/>
  <c r="F3708" i="1"/>
  <c r="E3708" i="1"/>
  <c r="D3708" i="1"/>
  <c r="B3708" i="1"/>
  <c r="A3708" i="1"/>
  <c r="G3707" i="1"/>
  <c r="F3707" i="1"/>
  <c r="E3707" i="1"/>
  <c r="D3707" i="1"/>
  <c r="B3707" i="1"/>
  <c r="A3707" i="1"/>
  <c r="G3706" i="1"/>
  <c r="F3706" i="1"/>
  <c r="E3706" i="1"/>
  <c r="D3706" i="1"/>
  <c r="B3706" i="1"/>
  <c r="A3706" i="1"/>
  <c r="G3705" i="1"/>
  <c r="F3705" i="1"/>
  <c r="E3705" i="1"/>
  <c r="D3705" i="1"/>
  <c r="B3705" i="1"/>
  <c r="A3705" i="1"/>
  <c r="G3704" i="1"/>
  <c r="F3704" i="1"/>
  <c r="E3704" i="1"/>
  <c r="D3704" i="1"/>
  <c r="B3704" i="1"/>
  <c r="A3704" i="1"/>
  <c r="G3703" i="1"/>
  <c r="F3703" i="1"/>
  <c r="E3703" i="1"/>
  <c r="D3703" i="1"/>
  <c r="B3703" i="1"/>
  <c r="A3703" i="1"/>
  <c r="G3702" i="1"/>
  <c r="F3702" i="1"/>
  <c r="E3702" i="1"/>
  <c r="D3702" i="1"/>
  <c r="B3702" i="1"/>
  <c r="A3702" i="1"/>
  <c r="G3701" i="1"/>
  <c r="F3701" i="1"/>
  <c r="E3701" i="1"/>
  <c r="D3701" i="1"/>
  <c r="B3701" i="1"/>
  <c r="A3701" i="1"/>
  <c r="G3700" i="1"/>
  <c r="F3700" i="1"/>
  <c r="E3700" i="1"/>
  <c r="D3700" i="1"/>
  <c r="B3700" i="1"/>
  <c r="A3700" i="1"/>
  <c r="G3699" i="1"/>
  <c r="F3699" i="1"/>
  <c r="E3699" i="1"/>
  <c r="D3699" i="1"/>
  <c r="B3699" i="1"/>
  <c r="A3699" i="1"/>
  <c r="G3698" i="1"/>
  <c r="F3698" i="1"/>
  <c r="E3698" i="1"/>
  <c r="D3698" i="1"/>
  <c r="B3698" i="1"/>
  <c r="A3698" i="1"/>
  <c r="G3697" i="1"/>
  <c r="F3697" i="1"/>
  <c r="E3697" i="1"/>
  <c r="D3697" i="1"/>
  <c r="B3697" i="1"/>
  <c r="A3697" i="1"/>
  <c r="G3696" i="1"/>
  <c r="F3696" i="1"/>
  <c r="E3696" i="1"/>
  <c r="D3696" i="1"/>
  <c r="B3696" i="1"/>
  <c r="A3696" i="1"/>
  <c r="G3695" i="1"/>
  <c r="F3695" i="1"/>
  <c r="E3695" i="1"/>
  <c r="D3695" i="1"/>
  <c r="B3695" i="1"/>
  <c r="A3695" i="1"/>
  <c r="G3694" i="1"/>
  <c r="F3694" i="1"/>
  <c r="E3694" i="1"/>
  <c r="D3694" i="1"/>
  <c r="B3694" i="1"/>
  <c r="A3694" i="1"/>
  <c r="G3693" i="1"/>
  <c r="F3693" i="1"/>
  <c r="E3693" i="1"/>
  <c r="D3693" i="1"/>
  <c r="B3693" i="1"/>
  <c r="A3693" i="1"/>
  <c r="G3692" i="1"/>
  <c r="F3692" i="1"/>
  <c r="E3692" i="1"/>
  <c r="D3692" i="1"/>
  <c r="B3692" i="1"/>
  <c r="A3692" i="1"/>
  <c r="G3691" i="1"/>
  <c r="F3691" i="1"/>
  <c r="E3691" i="1"/>
  <c r="D3691" i="1"/>
  <c r="B3691" i="1"/>
  <c r="A3691" i="1"/>
  <c r="G3690" i="1"/>
  <c r="F3690" i="1"/>
  <c r="E3690" i="1"/>
  <c r="D3690" i="1"/>
  <c r="B3690" i="1"/>
  <c r="A3690" i="1"/>
  <c r="G3689" i="1"/>
  <c r="F3689" i="1"/>
  <c r="E3689" i="1"/>
  <c r="D3689" i="1"/>
  <c r="B3689" i="1"/>
  <c r="A3689" i="1"/>
  <c r="G3688" i="1"/>
  <c r="F3688" i="1"/>
  <c r="E3688" i="1"/>
  <c r="D3688" i="1"/>
  <c r="B3688" i="1"/>
  <c r="A3688" i="1"/>
  <c r="G3687" i="1"/>
  <c r="F3687" i="1"/>
  <c r="E3687" i="1"/>
  <c r="D3687" i="1"/>
  <c r="B3687" i="1"/>
  <c r="A3687" i="1"/>
  <c r="G3686" i="1"/>
  <c r="F3686" i="1"/>
  <c r="E3686" i="1"/>
  <c r="D3686" i="1"/>
  <c r="B3686" i="1"/>
  <c r="A3686" i="1"/>
  <c r="G3685" i="1"/>
  <c r="F3685" i="1"/>
  <c r="E3685" i="1"/>
  <c r="D3685" i="1"/>
  <c r="B3685" i="1"/>
  <c r="A3685" i="1"/>
  <c r="G3684" i="1"/>
  <c r="F3684" i="1"/>
  <c r="E3684" i="1"/>
  <c r="D3684" i="1"/>
  <c r="B3684" i="1"/>
  <c r="A3684" i="1"/>
  <c r="G3683" i="1"/>
  <c r="F3683" i="1"/>
  <c r="E3683" i="1"/>
  <c r="D3683" i="1"/>
  <c r="B3683" i="1"/>
  <c r="A3683" i="1"/>
  <c r="G3682" i="1"/>
  <c r="F3682" i="1"/>
  <c r="E3682" i="1"/>
  <c r="D3682" i="1"/>
  <c r="B3682" i="1"/>
  <c r="A3682" i="1"/>
  <c r="G3681" i="1"/>
  <c r="F3681" i="1"/>
  <c r="E3681" i="1"/>
  <c r="D3681" i="1"/>
  <c r="B3681" i="1"/>
  <c r="A3681" i="1"/>
  <c r="G3680" i="1"/>
  <c r="F3680" i="1"/>
  <c r="E3680" i="1"/>
  <c r="D3680" i="1"/>
  <c r="B3680" i="1"/>
  <c r="A3680" i="1"/>
  <c r="G3679" i="1"/>
  <c r="F3679" i="1"/>
  <c r="E3679" i="1"/>
  <c r="D3679" i="1"/>
  <c r="B3679" i="1"/>
  <c r="A3679" i="1"/>
  <c r="G3678" i="1"/>
  <c r="F3678" i="1"/>
  <c r="E3678" i="1"/>
  <c r="D3678" i="1"/>
  <c r="B3678" i="1"/>
  <c r="A3678" i="1"/>
  <c r="G3677" i="1"/>
  <c r="F3677" i="1"/>
  <c r="E3677" i="1"/>
  <c r="D3677" i="1"/>
  <c r="B3677" i="1"/>
  <c r="A3677" i="1"/>
  <c r="G3676" i="1"/>
  <c r="F3676" i="1"/>
  <c r="E3676" i="1"/>
  <c r="D3676" i="1"/>
  <c r="B3676" i="1"/>
  <c r="A3676" i="1"/>
  <c r="G3675" i="1"/>
  <c r="F3675" i="1"/>
  <c r="E3675" i="1"/>
  <c r="D3675" i="1"/>
  <c r="B3675" i="1"/>
  <c r="A3675" i="1"/>
  <c r="G3674" i="1"/>
  <c r="F3674" i="1"/>
  <c r="E3674" i="1"/>
  <c r="D3674" i="1"/>
  <c r="B3674" i="1"/>
  <c r="A3674" i="1"/>
  <c r="G3673" i="1"/>
  <c r="F3673" i="1"/>
  <c r="E3673" i="1"/>
  <c r="D3673" i="1"/>
  <c r="B3673" i="1"/>
  <c r="A3673" i="1"/>
  <c r="G3672" i="1"/>
  <c r="F3672" i="1"/>
  <c r="E3672" i="1"/>
  <c r="D3672" i="1"/>
  <c r="B3672" i="1"/>
  <c r="A3672" i="1"/>
  <c r="G3671" i="1"/>
  <c r="F3671" i="1"/>
  <c r="E3671" i="1"/>
  <c r="D3671" i="1"/>
  <c r="B3671" i="1"/>
  <c r="A3671" i="1"/>
  <c r="G3670" i="1"/>
  <c r="F3670" i="1"/>
  <c r="E3670" i="1"/>
  <c r="D3670" i="1"/>
  <c r="B3670" i="1"/>
  <c r="A3670" i="1"/>
  <c r="G3669" i="1"/>
  <c r="F3669" i="1"/>
  <c r="E3669" i="1"/>
  <c r="D3669" i="1"/>
  <c r="B3669" i="1"/>
  <c r="A3669" i="1"/>
  <c r="G3668" i="1"/>
  <c r="F3668" i="1"/>
  <c r="E3668" i="1"/>
  <c r="D3668" i="1"/>
  <c r="B3668" i="1"/>
  <c r="A3668" i="1"/>
  <c r="G3667" i="1"/>
  <c r="F3667" i="1"/>
  <c r="E3667" i="1"/>
  <c r="D3667" i="1"/>
  <c r="B3667" i="1"/>
  <c r="A3667" i="1"/>
  <c r="G3666" i="1"/>
  <c r="F3666" i="1"/>
  <c r="E3666" i="1"/>
  <c r="D3666" i="1"/>
  <c r="B3666" i="1"/>
  <c r="A3666" i="1"/>
  <c r="G3665" i="1"/>
  <c r="F3665" i="1"/>
  <c r="E3665" i="1"/>
  <c r="D3665" i="1"/>
  <c r="B3665" i="1"/>
  <c r="A3665" i="1"/>
  <c r="G3664" i="1"/>
  <c r="F3664" i="1"/>
  <c r="E3664" i="1"/>
  <c r="D3664" i="1"/>
  <c r="B3664" i="1"/>
  <c r="A3664" i="1"/>
  <c r="G3663" i="1"/>
  <c r="F3663" i="1"/>
  <c r="E3663" i="1"/>
  <c r="D3663" i="1"/>
  <c r="B3663" i="1"/>
  <c r="A3663" i="1"/>
  <c r="G3662" i="1"/>
  <c r="F3662" i="1"/>
  <c r="E3662" i="1"/>
  <c r="D3662" i="1"/>
  <c r="B3662" i="1"/>
  <c r="A3662" i="1"/>
  <c r="G3661" i="1"/>
  <c r="F3661" i="1"/>
  <c r="E3661" i="1"/>
  <c r="D3661" i="1"/>
  <c r="B3661" i="1"/>
  <c r="A3661" i="1"/>
  <c r="G3660" i="1"/>
  <c r="F3660" i="1"/>
  <c r="E3660" i="1"/>
  <c r="D3660" i="1"/>
  <c r="B3660" i="1"/>
  <c r="A3660" i="1"/>
  <c r="G3659" i="1"/>
  <c r="F3659" i="1"/>
  <c r="E3659" i="1"/>
  <c r="D3659" i="1"/>
  <c r="B3659" i="1"/>
  <c r="A3659" i="1"/>
  <c r="G3658" i="1"/>
  <c r="F3658" i="1"/>
  <c r="E3658" i="1"/>
  <c r="D3658" i="1"/>
  <c r="B3658" i="1"/>
  <c r="A3658" i="1"/>
  <c r="G3657" i="1"/>
  <c r="F3657" i="1"/>
  <c r="E3657" i="1"/>
  <c r="D3657" i="1"/>
  <c r="B3657" i="1"/>
  <c r="A3657" i="1"/>
  <c r="G3656" i="1"/>
  <c r="F3656" i="1"/>
  <c r="E3656" i="1"/>
  <c r="D3656" i="1"/>
  <c r="B3656" i="1"/>
  <c r="A3656" i="1"/>
  <c r="G3655" i="1"/>
  <c r="F3655" i="1"/>
  <c r="E3655" i="1"/>
  <c r="D3655" i="1"/>
  <c r="B3655" i="1"/>
  <c r="A3655" i="1"/>
  <c r="G3654" i="1"/>
  <c r="F3654" i="1"/>
  <c r="E3654" i="1"/>
  <c r="D3654" i="1"/>
  <c r="B3654" i="1"/>
  <c r="A3654" i="1"/>
  <c r="G3653" i="1"/>
  <c r="F3653" i="1"/>
  <c r="E3653" i="1"/>
  <c r="D3653" i="1"/>
  <c r="B3653" i="1"/>
  <c r="A3653" i="1"/>
  <c r="G3652" i="1"/>
  <c r="F3652" i="1"/>
  <c r="E3652" i="1"/>
  <c r="D3652" i="1"/>
  <c r="B3652" i="1"/>
  <c r="A3652" i="1"/>
  <c r="G3651" i="1"/>
  <c r="F3651" i="1"/>
  <c r="E3651" i="1"/>
  <c r="D3651" i="1"/>
  <c r="B3651" i="1"/>
  <c r="A3651" i="1"/>
  <c r="G3650" i="1"/>
  <c r="F3650" i="1"/>
  <c r="E3650" i="1"/>
  <c r="D3650" i="1"/>
  <c r="B3650" i="1"/>
  <c r="A3650" i="1"/>
  <c r="G3649" i="1"/>
  <c r="F3649" i="1"/>
  <c r="E3649" i="1"/>
  <c r="D3649" i="1"/>
  <c r="B3649" i="1"/>
  <c r="A3649" i="1"/>
  <c r="G3648" i="1"/>
  <c r="F3648" i="1"/>
  <c r="E3648" i="1"/>
  <c r="D3648" i="1"/>
  <c r="B3648" i="1"/>
  <c r="A3648" i="1"/>
  <c r="G3647" i="1"/>
  <c r="F3647" i="1"/>
  <c r="E3647" i="1"/>
  <c r="D3647" i="1"/>
  <c r="B3647" i="1"/>
  <c r="A3647" i="1"/>
  <c r="G3646" i="1"/>
  <c r="F3646" i="1"/>
  <c r="E3646" i="1"/>
  <c r="D3646" i="1"/>
  <c r="B3646" i="1"/>
  <c r="A3646" i="1"/>
  <c r="G3645" i="1"/>
  <c r="F3645" i="1"/>
  <c r="E3645" i="1"/>
  <c r="D3645" i="1"/>
  <c r="B3645" i="1"/>
  <c r="A3645" i="1"/>
  <c r="G3644" i="1"/>
  <c r="F3644" i="1"/>
  <c r="E3644" i="1"/>
  <c r="D3644" i="1"/>
  <c r="B3644" i="1"/>
  <c r="A3644" i="1"/>
  <c r="G3643" i="1"/>
  <c r="F3643" i="1"/>
  <c r="E3643" i="1"/>
  <c r="D3643" i="1"/>
  <c r="B3643" i="1"/>
  <c r="A3643" i="1"/>
  <c r="G3642" i="1"/>
  <c r="F3642" i="1"/>
  <c r="E3642" i="1"/>
  <c r="D3642" i="1"/>
  <c r="B3642" i="1"/>
  <c r="A3642" i="1"/>
  <c r="G3641" i="1"/>
  <c r="F3641" i="1"/>
  <c r="E3641" i="1"/>
  <c r="D3641" i="1"/>
  <c r="B3641" i="1"/>
  <c r="A3641" i="1"/>
  <c r="G3640" i="1"/>
  <c r="F3640" i="1"/>
  <c r="E3640" i="1"/>
  <c r="D3640" i="1"/>
  <c r="B3640" i="1"/>
  <c r="A3640" i="1"/>
  <c r="G3639" i="1"/>
  <c r="F3639" i="1"/>
  <c r="E3639" i="1"/>
  <c r="D3639" i="1"/>
  <c r="B3639" i="1"/>
  <c r="A3639" i="1"/>
  <c r="G3638" i="1"/>
  <c r="F3638" i="1"/>
  <c r="E3638" i="1"/>
  <c r="D3638" i="1"/>
  <c r="B3638" i="1"/>
  <c r="A3638" i="1"/>
  <c r="G3637" i="1"/>
  <c r="F3637" i="1"/>
  <c r="E3637" i="1"/>
  <c r="D3637" i="1"/>
  <c r="B3637" i="1"/>
  <c r="A3637" i="1"/>
  <c r="G3636" i="1"/>
  <c r="F3636" i="1"/>
  <c r="E3636" i="1"/>
  <c r="D3636" i="1"/>
  <c r="B3636" i="1"/>
  <c r="A3636" i="1"/>
  <c r="G3635" i="1"/>
  <c r="F3635" i="1"/>
  <c r="E3635" i="1"/>
  <c r="D3635" i="1"/>
  <c r="B3635" i="1"/>
  <c r="A3635" i="1"/>
  <c r="G3634" i="1"/>
  <c r="F3634" i="1"/>
  <c r="E3634" i="1"/>
  <c r="D3634" i="1"/>
  <c r="B3634" i="1"/>
  <c r="A3634" i="1"/>
  <c r="G3633" i="1"/>
  <c r="F3633" i="1"/>
  <c r="E3633" i="1"/>
  <c r="D3633" i="1"/>
  <c r="B3633" i="1"/>
  <c r="A3633" i="1"/>
  <c r="G3632" i="1"/>
  <c r="F3632" i="1"/>
  <c r="E3632" i="1"/>
  <c r="D3632" i="1"/>
  <c r="B3632" i="1"/>
  <c r="A3632" i="1"/>
  <c r="G3631" i="1"/>
  <c r="F3631" i="1"/>
  <c r="E3631" i="1"/>
  <c r="D3631" i="1"/>
  <c r="B3631" i="1"/>
  <c r="A3631" i="1"/>
  <c r="G3630" i="1"/>
  <c r="F3630" i="1"/>
  <c r="E3630" i="1"/>
  <c r="D3630" i="1"/>
  <c r="B3630" i="1"/>
  <c r="A3630" i="1"/>
  <c r="G3629" i="1"/>
  <c r="F3629" i="1"/>
  <c r="E3629" i="1"/>
  <c r="D3629" i="1"/>
  <c r="B3629" i="1"/>
  <c r="A3629" i="1"/>
  <c r="G3628" i="1"/>
  <c r="F3628" i="1"/>
  <c r="E3628" i="1"/>
  <c r="D3628" i="1"/>
  <c r="B3628" i="1"/>
  <c r="A3628" i="1"/>
  <c r="G3627" i="1"/>
  <c r="F3627" i="1"/>
  <c r="E3627" i="1"/>
  <c r="D3627" i="1"/>
  <c r="B3627" i="1"/>
  <c r="A3627" i="1"/>
  <c r="G3626" i="1"/>
  <c r="F3626" i="1"/>
  <c r="E3626" i="1"/>
  <c r="D3626" i="1"/>
  <c r="B3626" i="1"/>
  <c r="A3626" i="1"/>
  <c r="G3625" i="1"/>
  <c r="F3625" i="1"/>
  <c r="E3625" i="1"/>
  <c r="D3625" i="1"/>
  <c r="B3625" i="1"/>
  <c r="A3625" i="1"/>
  <c r="G3624" i="1"/>
  <c r="F3624" i="1"/>
  <c r="E3624" i="1"/>
  <c r="D3624" i="1"/>
  <c r="B3624" i="1"/>
  <c r="A3624" i="1"/>
  <c r="G3623" i="1"/>
  <c r="F3623" i="1"/>
  <c r="E3623" i="1"/>
  <c r="D3623" i="1"/>
  <c r="B3623" i="1"/>
  <c r="A3623" i="1"/>
  <c r="G3622" i="1"/>
  <c r="F3622" i="1"/>
  <c r="E3622" i="1"/>
  <c r="D3622" i="1"/>
  <c r="B3622" i="1"/>
  <c r="A3622" i="1"/>
  <c r="G3621" i="1"/>
  <c r="F3621" i="1"/>
  <c r="E3621" i="1"/>
  <c r="D3621" i="1"/>
  <c r="B3621" i="1"/>
  <c r="A3621" i="1"/>
  <c r="G3620" i="1"/>
  <c r="F3620" i="1"/>
  <c r="E3620" i="1"/>
  <c r="D3620" i="1"/>
  <c r="B3620" i="1"/>
  <c r="A3620" i="1"/>
  <c r="G3619" i="1"/>
  <c r="F3619" i="1"/>
  <c r="E3619" i="1"/>
  <c r="D3619" i="1"/>
  <c r="B3619" i="1"/>
  <c r="A3619" i="1"/>
  <c r="G3618" i="1"/>
  <c r="F3618" i="1"/>
  <c r="E3618" i="1"/>
  <c r="D3618" i="1"/>
  <c r="B3618" i="1"/>
  <c r="A3618" i="1"/>
  <c r="G3617" i="1"/>
  <c r="F3617" i="1"/>
  <c r="E3617" i="1"/>
  <c r="D3617" i="1"/>
  <c r="B3617" i="1"/>
  <c r="A3617" i="1"/>
  <c r="G3616" i="1"/>
  <c r="F3616" i="1"/>
  <c r="E3616" i="1"/>
  <c r="D3616" i="1"/>
  <c r="B3616" i="1"/>
  <c r="A3616" i="1"/>
  <c r="G3615" i="1"/>
  <c r="F3615" i="1"/>
  <c r="E3615" i="1"/>
  <c r="D3615" i="1"/>
  <c r="B3615" i="1"/>
  <c r="A3615" i="1"/>
  <c r="G3614" i="1"/>
  <c r="F3614" i="1"/>
  <c r="E3614" i="1"/>
  <c r="D3614" i="1"/>
  <c r="B3614" i="1"/>
  <c r="A3614" i="1"/>
  <c r="G3613" i="1"/>
  <c r="F3613" i="1"/>
  <c r="E3613" i="1"/>
  <c r="D3613" i="1"/>
  <c r="B3613" i="1"/>
  <c r="A3613" i="1"/>
  <c r="G3612" i="1"/>
  <c r="F3612" i="1"/>
  <c r="E3612" i="1"/>
  <c r="D3612" i="1"/>
  <c r="B3612" i="1"/>
  <c r="A3612" i="1"/>
  <c r="G3611" i="1"/>
  <c r="F3611" i="1"/>
  <c r="E3611" i="1"/>
  <c r="D3611" i="1"/>
  <c r="B3611" i="1"/>
  <c r="A3611" i="1"/>
  <c r="G3610" i="1"/>
  <c r="F3610" i="1"/>
  <c r="E3610" i="1"/>
  <c r="D3610" i="1"/>
  <c r="B3610" i="1"/>
  <c r="A3610" i="1"/>
  <c r="G3609" i="1"/>
  <c r="F3609" i="1"/>
  <c r="E3609" i="1"/>
  <c r="D3609" i="1"/>
  <c r="B3609" i="1"/>
  <c r="A3609" i="1"/>
  <c r="G3608" i="1"/>
  <c r="F3608" i="1"/>
  <c r="E3608" i="1"/>
  <c r="D3608" i="1"/>
  <c r="B3608" i="1"/>
  <c r="A3608" i="1"/>
  <c r="G3607" i="1"/>
  <c r="F3607" i="1"/>
  <c r="E3607" i="1"/>
  <c r="D3607" i="1"/>
  <c r="B3607" i="1"/>
  <c r="A3607" i="1"/>
  <c r="G3606" i="1"/>
  <c r="F3606" i="1"/>
  <c r="E3606" i="1"/>
  <c r="D3606" i="1"/>
  <c r="B3606" i="1"/>
  <c r="A3606" i="1"/>
  <c r="G3605" i="1"/>
  <c r="F3605" i="1"/>
  <c r="E3605" i="1"/>
  <c r="D3605" i="1"/>
  <c r="B3605" i="1"/>
  <c r="A3605" i="1"/>
  <c r="G3604" i="1"/>
  <c r="F3604" i="1"/>
  <c r="E3604" i="1"/>
  <c r="D3604" i="1"/>
  <c r="B3604" i="1"/>
  <c r="A3604" i="1"/>
  <c r="G3603" i="1"/>
  <c r="F3603" i="1"/>
  <c r="E3603" i="1"/>
  <c r="D3603" i="1"/>
  <c r="B3603" i="1"/>
  <c r="A3603" i="1"/>
  <c r="G3602" i="1"/>
  <c r="F3602" i="1"/>
  <c r="E3602" i="1"/>
  <c r="D3602" i="1"/>
  <c r="B3602" i="1"/>
  <c r="A3602" i="1"/>
  <c r="G3601" i="1"/>
  <c r="F3601" i="1"/>
  <c r="E3601" i="1"/>
  <c r="D3601" i="1"/>
  <c r="B3601" i="1"/>
  <c r="A3601" i="1"/>
  <c r="G3600" i="1"/>
  <c r="F3600" i="1"/>
  <c r="E3600" i="1"/>
  <c r="D3600" i="1"/>
  <c r="B3600" i="1"/>
  <c r="A3600" i="1"/>
  <c r="G3599" i="1"/>
  <c r="F3599" i="1"/>
  <c r="E3599" i="1"/>
  <c r="D3599" i="1"/>
  <c r="B3599" i="1"/>
  <c r="A3599" i="1"/>
  <c r="G3598" i="1"/>
  <c r="F3598" i="1"/>
  <c r="E3598" i="1"/>
  <c r="D3598" i="1"/>
  <c r="B3598" i="1"/>
  <c r="A3598" i="1"/>
  <c r="G3597" i="1"/>
  <c r="F3597" i="1"/>
  <c r="E3597" i="1"/>
  <c r="D3597" i="1"/>
  <c r="B3597" i="1"/>
  <c r="A3597" i="1"/>
  <c r="G3596" i="1"/>
  <c r="F3596" i="1"/>
  <c r="E3596" i="1"/>
  <c r="D3596" i="1"/>
  <c r="B3596" i="1"/>
  <c r="A3596" i="1"/>
  <c r="G3595" i="1"/>
  <c r="F3595" i="1"/>
  <c r="E3595" i="1"/>
  <c r="D3595" i="1"/>
  <c r="B3595" i="1"/>
  <c r="A3595" i="1"/>
  <c r="G3594" i="1"/>
  <c r="F3594" i="1"/>
  <c r="E3594" i="1"/>
  <c r="D3594" i="1"/>
  <c r="B3594" i="1"/>
  <c r="A3594" i="1"/>
  <c r="G3593" i="1"/>
  <c r="F3593" i="1"/>
  <c r="E3593" i="1"/>
  <c r="D3593" i="1"/>
  <c r="B3593" i="1"/>
  <c r="A3593" i="1"/>
  <c r="G3592" i="1"/>
  <c r="F3592" i="1"/>
  <c r="E3592" i="1"/>
  <c r="D3592" i="1"/>
  <c r="B3592" i="1"/>
  <c r="A3592" i="1"/>
  <c r="G3591" i="1"/>
  <c r="F3591" i="1"/>
  <c r="E3591" i="1"/>
  <c r="D3591" i="1"/>
  <c r="B3591" i="1"/>
  <c r="A3591" i="1"/>
  <c r="G3590" i="1"/>
  <c r="F3590" i="1"/>
  <c r="E3590" i="1"/>
  <c r="D3590" i="1"/>
  <c r="B3590" i="1"/>
  <c r="A3590" i="1"/>
  <c r="G3589" i="1"/>
  <c r="F3589" i="1"/>
  <c r="E3589" i="1"/>
  <c r="D3589" i="1"/>
  <c r="B3589" i="1"/>
  <c r="A3589" i="1"/>
  <c r="G3588" i="1"/>
  <c r="F3588" i="1"/>
  <c r="E3588" i="1"/>
  <c r="D3588" i="1"/>
  <c r="B3588" i="1"/>
  <c r="A3588" i="1"/>
  <c r="G3587" i="1"/>
  <c r="F3587" i="1"/>
  <c r="E3587" i="1"/>
  <c r="D3587" i="1"/>
  <c r="B3587" i="1"/>
  <c r="A3587" i="1"/>
  <c r="G3586" i="1"/>
  <c r="F3586" i="1"/>
  <c r="E3586" i="1"/>
  <c r="D3586" i="1"/>
  <c r="B3586" i="1"/>
  <c r="A3586" i="1"/>
  <c r="G3585" i="1"/>
  <c r="F3585" i="1"/>
  <c r="E3585" i="1"/>
  <c r="D3585" i="1"/>
  <c r="B3585" i="1"/>
  <c r="A3585" i="1"/>
  <c r="G3584" i="1"/>
  <c r="F3584" i="1"/>
  <c r="E3584" i="1"/>
  <c r="D3584" i="1"/>
  <c r="B3584" i="1"/>
  <c r="A3584" i="1"/>
  <c r="G3583" i="1"/>
  <c r="F3583" i="1"/>
  <c r="E3583" i="1"/>
  <c r="D3583" i="1"/>
  <c r="B3583" i="1"/>
  <c r="A3583" i="1"/>
  <c r="G3582" i="1"/>
  <c r="F3582" i="1"/>
  <c r="E3582" i="1"/>
  <c r="D3582" i="1"/>
  <c r="B3582" i="1"/>
  <c r="A3582" i="1"/>
  <c r="G3581" i="1"/>
  <c r="F3581" i="1"/>
  <c r="E3581" i="1"/>
  <c r="D3581" i="1"/>
  <c r="B3581" i="1"/>
  <c r="A3581" i="1"/>
  <c r="G3580" i="1"/>
  <c r="F3580" i="1"/>
  <c r="E3580" i="1"/>
  <c r="D3580" i="1"/>
  <c r="B3580" i="1"/>
  <c r="A3580" i="1"/>
  <c r="G3579" i="1"/>
  <c r="F3579" i="1"/>
  <c r="E3579" i="1"/>
  <c r="D3579" i="1"/>
  <c r="B3579" i="1"/>
  <c r="A3579" i="1"/>
  <c r="G3578" i="1"/>
  <c r="F3578" i="1"/>
  <c r="E3578" i="1"/>
  <c r="D3578" i="1"/>
  <c r="B3578" i="1"/>
  <c r="A3578" i="1"/>
  <c r="G3577" i="1"/>
  <c r="F3577" i="1"/>
  <c r="E3577" i="1"/>
  <c r="D3577" i="1"/>
  <c r="B3577" i="1"/>
  <c r="A3577" i="1"/>
  <c r="G3576" i="1"/>
  <c r="F3576" i="1"/>
  <c r="E3576" i="1"/>
  <c r="D3576" i="1"/>
  <c r="B3576" i="1"/>
  <c r="A3576" i="1"/>
  <c r="G3575" i="1"/>
  <c r="F3575" i="1"/>
  <c r="E3575" i="1"/>
  <c r="D3575" i="1"/>
  <c r="B3575" i="1"/>
  <c r="A3575" i="1"/>
  <c r="G3574" i="1"/>
  <c r="F3574" i="1"/>
  <c r="E3574" i="1"/>
  <c r="D3574" i="1"/>
  <c r="B3574" i="1"/>
  <c r="A3574" i="1"/>
  <c r="G3573" i="1"/>
  <c r="F3573" i="1"/>
  <c r="E3573" i="1"/>
  <c r="D3573" i="1"/>
  <c r="B3573" i="1"/>
  <c r="A3573" i="1"/>
  <c r="G3572" i="1"/>
  <c r="F3572" i="1"/>
  <c r="E3572" i="1"/>
  <c r="D3572" i="1"/>
  <c r="B3572" i="1"/>
  <c r="A3572" i="1"/>
  <c r="G3571" i="1"/>
  <c r="F3571" i="1"/>
  <c r="E3571" i="1"/>
  <c r="D3571" i="1"/>
  <c r="B3571" i="1"/>
  <c r="A3571" i="1"/>
  <c r="G3570" i="1"/>
  <c r="F3570" i="1"/>
  <c r="E3570" i="1"/>
  <c r="D3570" i="1"/>
  <c r="B3570" i="1"/>
  <c r="A3570" i="1"/>
  <c r="G3569" i="1"/>
  <c r="F3569" i="1"/>
  <c r="E3569" i="1"/>
  <c r="D3569" i="1"/>
  <c r="B3569" i="1"/>
  <c r="A3569" i="1"/>
  <c r="G3568" i="1"/>
  <c r="F3568" i="1"/>
  <c r="E3568" i="1"/>
  <c r="D3568" i="1"/>
  <c r="B3568" i="1"/>
  <c r="A3568" i="1"/>
  <c r="G3567" i="1"/>
  <c r="F3567" i="1"/>
  <c r="E3567" i="1"/>
  <c r="D3567" i="1"/>
  <c r="B3567" i="1"/>
  <c r="A3567" i="1"/>
  <c r="G3566" i="1"/>
  <c r="F3566" i="1"/>
  <c r="E3566" i="1"/>
  <c r="D3566" i="1"/>
  <c r="B3566" i="1"/>
  <c r="A3566" i="1"/>
  <c r="G3565" i="1"/>
  <c r="F3565" i="1"/>
  <c r="E3565" i="1"/>
  <c r="D3565" i="1"/>
  <c r="B3565" i="1"/>
  <c r="A3565" i="1"/>
  <c r="G3564" i="1"/>
  <c r="F3564" i="1"/>
  <c r="E3564" i="1"/>
  <c r="D3564" i="1"/>
  <c r="B3564" i="1"/>
  <c r="A3564" i="1"/>
  <c r="G3563" i="1"/>
  <c r="F3563" i="1"/>
  <c r="E3563" i="1"/>
  <c r="D3563" i="1"/>
  <c r="B3563" i="1"/>
  <c r="A3563" i="1"/>
  <c r="G3562" i="1"/>
  <c r="F3562" i="1"/>
  <c r="E3562" i="1"/>
  <c r="D3562" i="1"/>
  <c r="B3562" i="1"/>
  <c r="A3562" i="1"/>
  <c r="G3561" i="1"/>
  <c r="F3561" i="1"/>
  <c r="E3561" i="1"/>
  <c r="D3561" i="1"/>
  <c r="B3561" i="1"/>
  <c r="A3561" i="1"/>
  <c r="G3560" i="1"/>
  <c r="F3560" i="1"/>
  <c r="E3560" i="1"/>
  <c r="D3560" i="1"/>
  <c r="B3560" i="1"/>
  <c r="A3560" i="1"/>
  <c r="G3559" i="1"/>
  <c r="F3559" i="1"/>
  <c r="E3559" i="1"/>
  <c r="D3559" i="1"/>
  <c r="B3559" i="1"/>
  <c r="A3559" i="1"/>
  <c r="G3558" i="1"/>
  <c r="F3558" i="1"/>
  <c r="E3558" i="1"/>
  <c r="D3558" i="1"/>
  <c r="B3558" i="1"/>
  <c r="A3558" i="1"/>
  <c r="G3557" i="1"/>
  <c r="F3557" i="1"/>
  <c r="E3557" i="1"/>
  <c r="D3557" i="1"/>
  <c r="B3557" i="1"/>
  <c r="A3557" i="1"/>
  <c r="G3556" i="1"/>
  <c r="F3556" i="1"/>
  <c r="E3556" i="1"/>
  <c r="D3556" i="1"/>
  <c r="B3556" i="1"/>
  <c r="A3556" i="1"/>
  <c r="G3555" i="1"/>
  <c r="F3555" i="1"/>
  <c r="E3555" i="1"/>
  <c r="D3555" i="1"/>
  <c r="B3555" i="1"/>
  <c r="A3555" i="1"/>
  <c r="G3554" i="1"/>
  <c r="F3554" i="1"/>
  <c r="E3554" i="1"/>
  <c r="D3554" i="1"/>
  <c r="B3554" i="1"/>
  <c r="A3554" i="1"/>
  <c r="G3553" i="1"/>
  <c r="F3553" i="1"/>
  <c r="E3553" i="1"/>
  <c r="D3553" i="1"/>
  <c r="B3553" i="1"/>
  <c r="A3553" i="1"/>
  <c r="G3552" i="1"/>
  <c r="F3552" i="1"/>
  <c r="E3552" i="1"/>
  <c r="D3552" i="1"/>
  <c r="B3552" i="1"/>
  <c r="A3552" i="1"/>
  <c r="G3551" i="1"/>
  <c r="F3551" i="1"/>
  <c r="E3551" i="1"/>
  <c r="D3551" i="1"/>
  <c r="B3551" i="1"/>
  <c r="A3551" i="1"/>
  <c r="G3550" i="1"/>
  <c r="F3550" i="1"/>
  <c r="E3550" i="1"/>
  <c r="D3550" i="1"/>
  <c r="B3550" i="1"/>
  <c r="A3550" i="1"/>
  <c r="G3549" i="1"/>
  <c r="F3549" i="1"/>
  <c r="E3549" i="1"/>
  <c r="D3549" i="1"/>
  <c r="B3549" i="1"/>
  <c r="A3549" i="1"/>
  <c r="G3548" i="1"/>
  <c r="F3548" i="1"/>
  <c r="E3548" i="1"/>
  <c r="D3548" i="1"/>
  <c r="B3548" i="1"/>
  <c r="A3548" i="1"/>
  <c r="G3547" i="1"/>
  <c r="F3547" i="1"/>
  <c r="E3547" i="1"/>
  <c r="D3547" i="1"/>
  <c r="B3547" i="1"/>
  <c r="A3547" i="1"/>
  <c r="G3546" i="1"/>
  <c r="F3546" i="1"/>
  <c r="E3546" i="1"/>
  <c r="D3546" i="1"/>
  <c r="B3546" i="1"/>
  <c r="A3546" i="1"/>
  <c r="G3545" i="1"/>
  <c r="F3545" i="1"/>
  <c r="E3545" i="1"/>
  <c r="D3545" i="1"/>
  <c r="B3545" i="1"/>
  <c r="A3545" i="1"/>
  <c r="G3544" i="1"/>
  <c r="F3544" i="1"/>
  <c r="E3544" i="1"/>
  <c r="D3544" i="1"/>
  <c r="B3544" i="1"/>
  <c r="A3544" i="1"/>
  <c r="G3543" i="1"/>
  <c r="F3543" i="1"/>
  <c r="E3543" i="1"/>
  <c r="D3543" i="1"/>
  <c r="B3543" i="1"/>
  <c r="A3543" i="1"/>
  <c r="G3542" i="1"/>
  <c r="F3542" i="1"/>
  <c r="E3542" i="1"/>
  <c r="D3542" i="1"/>
  <c r="B3542" i="1"/>
  <c r="A3542" i="1"/>
  <c r="G3541" i="1"/>
  <c r="F3541" i="1"/>
  <c r="E3541" i="1"/>
  <c r="D3541" i="1"/>
  <c r="B3541" i="1"/>
  <c r="A3541" i="1"/>
  <c r="G3540" i="1"/>
  <c r="F3540" i="1"/>
  <c r="E3540" i="1"/>
  <c r="D3540" i="1"/>
  <c r="B3540" i="1"/>
  <c r="A3540" i="1"/>
  <c r="G3539" i="1"/>
  <c r="F3539" i="1"/>
  <c r="E3539" i="1"/>
  <c r="D3539" i="1"/>
  <c r="B3539" i="1"/>
  <c r="A3539" i="1"/>
  <c r="G3538" i="1"/>
  <c r="F3538" i="1"/>
  <c r="E3538" i="1"/>
  <c r="D3538" i="1"/>
  <c r="B3538" i="1"/>
  <c r="A3538" i="1"/>
  <c r="G3537" i="1"/>
  <c r="F3537" i="1"/>
  <c r="E3537" i="1"/>
  <c r="D3537" i="1"/>
  <c r="B3537" i="1"/>
  <c r="A3537" i="1"/>
  <c r="G3536" i="1"/>
  <c r="F3536" i="1"/>
  <c r="E3536" i="1"/>
  <c r="D3536" i="1"/>
  <c r="B3536" i="1"/>
  <c r="A3536" i="1"/>
  <c r="G3535" i="1"/>
  <c r="F3535" i="1"/>
  <c r="E3535" i="1"/>
  <c r="D3535" i="1"/>
  <c r="B3535" i="1"/>
  <c r="A3535" i="1"/>
  <c r="G3534" i="1"/>
  <c r="F3534" i="1"/>
  <c r="E3534" i="1"/>
  <c r="D3534" i="1"/>
  <c r="B3534" i="1"/>
  <c r="A3534" i="1"/>
  <c r="G3533" i="1"/>
  <c r="F3533" i="1"/>
  <c r="E3533" i="1"/>
  <c r="D3533" i="1"/>
  <c r="B3533" i="1"/>
  <c r="A3533" i="1"/>
  <c r="G3532" i="1"/>
  <c r="F3532" i="1"/>
  <c r="E3532" i="1"/>
  <c r="D3532" i="1"/>
  <c r="B3532" i="1"/>
  <c r="A3532" i="1"/>
  <c r="G3531" i="1"/>
  <c r="F3531" i="1"/>
  <c r="E3531" i="1"/>
  <c r="D3531" i="1"/>
  <c r="B3531" i="1"/>
  <c r="A3531" i="1"/>
  <c r="G3530" i="1"/>
  <c r="F3530" i="1"/>
  <c r="E3530" i="1"/>
  <c r="D3530" i="1"/>
  <c r="B3530" i="1"/>
  <c r="A3530" i="1"/>
  <c r="G3529" i="1"/>
  <c r="F3529" i="1"/>
  <c r="E3529" i="1"/>
  <c r="D3529" i="1"/>
  <c r="B3529" i="1"/>
  <c r="A3529" i="1"/>
  <c r="G3528" i="1"/>
  <c r="F3528" i="1"/>
  <c r="E3528" i="1"/>
  <c r="D3528" i="1"/>
  <c r="B3528" i="1"/>
  <c r="A3528" i="1"/>
  <c r="G3527" i="1"/>
  <c r="F3527" i="1"/>
  <c r="E3527" i="1"/>
  <c r="D3527" i="1"/>
  <c r="B3527" i="1"/>
  <c r="A3527" i="1"/>
  <c r="G3526" i="1"/>
  <c r="F3526" i="1"/>
  <c r="E3526" i="1"/>
  <c r="D3526" i="1"/>
  <c r="B3526" i="1"/>
  <c r="A3526" i="1"/>
  <c r="G3525" i="1"/>
  <c r="F3525" i="1"/>
  <c r="E3525" i="1"/>
  <c r="D3525" i="1"/>
  <c r="B3525" i="1"/>
  <c r="A3525" i="1"/>
  <c r="G3524" i="1"/>
  <c r="F3524" i="1"/>
  <c r="E3524" i="1"/>
  <c r="D3524" i="1"/>
  <c r="B3524" i="1"/>
  <c r="A3524" i="1"/>
  <c r="G3523" i="1"/>
  <c r="F3523" i="1"/>
  <c r="E3523" i="1"/>
  <c r="D3523" i="1"/>
  <c r="B3523" i="1"/>
  <c r="A3523" i="1"/>
  <c r="G3522" i="1"/>
  <c r="F3522" i="1"/>
  <c r="E3522" i="1"/>
  <c r="D3522" i="1"/>
  <c r="B3522" i="1"/>
  <c r="A3522" i="1"/>
  <c r="G3521" i="1"/>
  <c r="F3521" i="1"/>
  <c r="E3521" i="1"/>
  <c r="D3521" i="1"/>
  <c r="B3521" i="1"/>
  <c r="A3521" i="1"/>
  <c r="G3520" i="1"/>
  <c r="F3520" i="1"/>
  <c r="E3520" i="1"/>
  <c r="D3520" i="1"/>
  <c r="B3520" i="1"/>
  <c r="A3520" i="1"/>
  <c r="G3519" i="1"/>
  <c r="F3519" i="1"/>
  <c r="E3519" i="1"/>
  <c r="D3519" i="1"/>
  <c r="B3519" i="1"/>
  <c r="A3519" i="1"/>
  <c r="G3518" i="1"/>
  <c r="F3518" i="1"/>
  <c r="E3518" i="1"/>
  <c r="D3518" i="1"/>
  <c r="B3518" i="1"/>
  <c r="A3518" i="1"/>
  <c r="G3517" i="1"/>
  <c r="F3517" i="1"/>
  <c r="E3517" i="1"/>
  <c r="D3517" i="1"/>
  <c r="B3517" i="1"/>
  <c r="A3517" i="1"/>
  <c r="G3516" i="1"/>
  <c r="F3516" i="1"/>
  <c r="E3516" i="1"/>
  <c r="D3516" i="1"/>
  <c r="B3516" i="1"/>
  <c r="A3516" i="1"/>
  <c r="G3515" i="1"/>
  <c r="F3515" i="1"/>
  <c r="E3515" i="1"/>
  <c r="D3515" i="1"/>
  <c r="B3515" i="1"/>
  <c r="A3515" i="1"/>
  <c r="G3514" i="1"/>
  <c r="F3514" i="1"/>
  <c r="E3514" i="1"/>
  <c r="D3514" i="1"/>
  <c r="B3514" i="1"/>
  <c r="A3514" i="1"/>
  <c r="G3513" i="1"/>
  <c r="F3513" i="1"/>
  <c r="E3513" i="1"/>
  <c r="D3513" i="1"/>
  <c r="B3513" i="1"/>
  <c r="A3513" i="1"/>
  <c r="G3512" i="1"/>
  <c r="F3512" i="1"/>
  <c r="E3512" i="1"/>
  <c r="D3512" i="1"/>
  <c r="B3512" i="1"/>
  <c r="A3512" i="1"/>
  <c r="G3511" i="1"/>
  <c r="F3511" i="1"/>
  <c r="E3511" i="1"/>
  <c r="D3511" i="1"/>
  <c r="B3511" i="1"/>
  <c r="A3511" i="1"/>
  <c r="G3510" i="1"/>
  <c r="F3510" i="1"/>
  <c r="E3510" i="1"/>
  <c r="D3510" i="1"/>
  <c r="B3510" i="1"/>
  <c r="A3510" i="1"/>
  <c r="G3509" i="1"/>
  <c r="F3509" i="1"/>
  <c r="E3509" i="1"/>
  <c r="D3509" i="1"/>
  <c r="B3509" i="1"/>
  <c r="A3509" i="1"/>
  <c r="G3508" i="1"/>
  <c r="F3508" i="1"/>
  <c r="E3508" i="1"/>
  <c r="D3508" i="1"/>
  <c r="B3508" i="1"/>
  <c r="A3508" i="1"/>
  <c r="G3507" i="1"/>
  <c r="F3507" i="1"/>
  <c r="E3507" i="1"/>
  <c r="D3507" i="1"/>
  <c r="B3507" i="1"/>
  <c r="A3507" i="1"/>
  <c r="G3506" i="1"/>
  <c r="F3506" i="1"/>
  <c r="E3506" i="1"/>
  <c r="D3506" i="1"/>
  <c r="B3506" i="1"/>
  <c r="A3506" i="1"/>
  <c r="G3505" i="1"/>
  <c r="F3505" i="1"/>
  <c r="E3505" i="1"/>
  <c r="D3505" i="1"/>
  <c r="B3505" i="1"/>
  <c r="A3505" i="1"/>
  <c r="G3504" i="1"/>
  <c r="F3504" i="1"/>
  <c r="E3504" i="1"/>
  <c r="D3504" i="1"/>
  <c r="B3504" i="1"/>
  <c r="A3504" i="1"/>
  <c r="G3503" i="1"/>
  <c r="F3503" i="1"/>
  <c r="E3503" i="1"/>
  <c r="D3503" i="1"/>
  <c r="B3503" i="1"/>
  <c r="A3503" i="1"/>
  <c r="G3502" i="1"/>
  <c r="F3502" i="1"/>
  <c r="E3502" i="1"/>
  <c r="D3502" i="1"/>
  <c r="B3502" i="1"/>
  <c r="A3502" i="1"/>
  <c r="G3501" i="1"/>
  <c r="F3501" i="1"/>
  <c r="E3501" i="1"/>
  <c r="D3501" i="1"/>
  <c r="B3501" i="1"/>
  <c r="A3501" i="1"/>
  <c r="G3500" i="1"/>
  <c r="F3500" i="1"/>
  <c r="E3500" i="1"/>
  <c r="D3500" i="1"/>
  <c r="B3500" i="1"/>
  <c r="A3500" i="1"/>
  <c r="G3499" i="1"/>
  <c r="F3499" i="1"/>
  <c r="E3499" i="1"/>
  <c r="D3499" i="1"/>
  <c r="B3499" i="1"/>
  <c r="A3499" i="1"/>
  <c r="G3498" i="1"/>
  <c r="F3498" i="1"/>
  <c r="E3498" i="1"/>
  <c r="D3498" i="1"/>
  <c r="B3498" i="1"/>
  <c r="A3498" i="1"/>
  <c r="G3497" i="1"/>
  <c r="F3497" i="1"/>
  <c r="E3497" i="1"/>
  <c r="D3497" i="1"/>
  <c r="B3497" i="1"/>
  <c r="A3497" i="1"/>
  <c r="G3496" i="1"/>
  <c r="F3496" i="1"/>
  <c r="E3496" i="1"/>
  <c r="D3496" i="1"/>
  <c r="B3496" i="1"/>
  <c r="A3496" i="1"/>
  <c r="G3495" i="1"/>
  <c r="F3495" i="1"/>
  <c r="E3495" i="1"/>
  <c r="D3495" i="1"/>
  <c r="B3495" i="1"/>
  <c r="A3495" i="1"/>
  <c r="G3494" i="1"/>
  <c r="F3494" i="1"/>
  <c r="E3494" i="1"/>
  <c r="D3494" i="1"/>
  <c r="B3494" i="1"/>
  <c r="A3494" i="1"/>
  <c r="G3493" i="1"/>
  <c r="F3493" i="1"/>
  <c r="E3493" i="1"/>
  <c r="D3493" i="1"/>
  <c r="B3493" i="1"/>
  <c r="A3493" i="1"/>
  <c r="G3492" i="1"/>
  <c r="F3492" i="1"/>
  <c r="E3492" i="1"/>
  <c r="D3492" i="1"/>
  <c r="B3492" i="1"/>
  <c r="A3492" i="1"/>
  <c r="G3491" i="1"/>
  <c r="F3491" i="1"/>
  <c r="E3491" i="1"/>
  <c r="D3491" i="1"/>
  <c r="B3491" i="1"/>
  <c r="A3491" i="1"/>
  <c r="G3490" i="1"/>
  <c r="F3490" i="1"/>
  <c r="E3490" i="1"/>
  <c r="D3490" i="1"/>
  <c r="B3490" i="1"/>
  <c r="A3490" i="1"/>
  <c r="G3489" i="1"/>
  <c r="F3489" i="1"/>
  <c r="E3489" i="1"/>
  <c r="D3489" i="1"/>
  <c r="B3489" i="1"/>
  <c r="A3489" i="1"/>
  <c r="G3488" i="1"/>
  <c r="F3488" i="1"/>
  <c r="E3488" i="1"/>
  <c r="D3488" i="1"/>
  <c r="B3488" i="1"/>
  <c r="A3488" i="1"/>
  <c r="G3487" i="1"/>
  <c r="F3487" i="1"/>
  <c r="E3487" i="1"/>
  <c r="D3487" i="1"/>
  <c r="B3487" i="1"/>
  <c r="A3487" i="1"/>
  <c r="G3486" i="1"/>
  <c r="F3486" i="1"/>
  <c r="E3486" i="1"/>
  <c r="D3486" i="1"/>
  <c r="B3486" i="1"/>
  <c r="A3486" i="1"/>
  <c r="G3485" i="1"/>
  <c r="F3485" i="1"/>
  <c r="E3485" i="1"/>
  <c r="D3485" i="1"/>
  <c r="B3485" i="1"/>
  <c r="A3485" i="1"/>
  <c r="G3484" i="1"/>
  <c r="F3484" i="1"/>
  <c r="E3484" i="1"/>
  <c r="D3484" i="1"/>
  <c r="B3484" i="1"/>
  <c r="A3484" i="1"/>
  <c r="G3483" i="1"/>
  <c r="F3483" i="1"/>
  <c r="E3483" i="1"/>
  <c r="D3483" i="1"/>
  <c r="B3483" i="1"/>
  <c r="A3483" i="1"/>
  <c r="G3482" i="1"/>
  <c r="F3482" i="1"/>
  <c r="E3482" i="1"/>
  <c r="D3482" i="1"/>
  <c r="B3482" i="1"/>
  <c r="A3482" i="1"/>
  <c r="G3481" i="1"/>
  <c r="F3481" i="1"/>
  <c r="E3481" i="1"/>
  <c r="D3481" i="1"/>
  <c r="B3481" i="1"/>
  <c r="A3481" i="1"/>
  <c r="G3480" i="1"/>
  <c r="F3480" i="1"/>
  <c r="E3480" i="1"/>
  <c r="D3480" i="1"/>
  <c r="B3480" i="1"/>
  <c r="A3480" i="1"/>
  <c r="G3479" i="1"/>
  <c r="F3479" i="1"/>
  <c r="E3479" i="1"/>
  <c r="D3479" i="1"/>
  <c r="B3479" i="1"/>
  <c r="A3479" i="1"/>
  <c r="G3478" i="1"/>
  <c r="F3478" i="1"/>
  <c r="E3478" i="1"/>
  <c r="D3478" i="1"/>
  <c r="B3478" i="1"/>
  <c r="A3478" i="1"/>
  <c r="G3477" i="1"/>
  <c r="F3477" i="1"/>
  <c r="E3477" i="1"/>
  <c r="D3477" i="1"/>
  <c r="B3477" i="1"/>
  <c r="A3477" i="1"/>
  <c r="G3476" i="1"/>
  <c r="F3476" i="1"/>
  <c r="E3476" i="1"/>
  <c r="D3476" i="1"/>
  <c r="B3476" i="1"/>
  <c r="A3476" i="1"/>
  <c r="G3475" i="1"/>
  <c r="F3475" i="1"/>
  <c r="E3475" i="1"/>
  <c r="D3475" i="1"/>
  <c r="B3475" i="1"/>
  <c r="A3475" i="1"/>
  <c r="G3474" i="1"/>
  <c r="F3474" i="1"/>
  <c r="E3474" i="1"/>
  <c r="D3474" i="1"/>
  <c r="B3474" i="1"/>
  <c r="A3474" i="1"/>
  <c r="G3473" i="1"/>
  <c r="F3473" i="1"/>
  <c r="E3473" i="1"/>
  <c r="D3473" i="1"/>
  <c r="B3473" i="1"/>
  <c r="A3473" i="1"/>
  <c r="G3472" i="1"/>
  <c r="F3472" i="1"/>
  <c r="E3472" i="1"/>
  <c r="D3472" i="1"/>
  <c r="B3472" i="1"/>
  <c r="A3472" i="1"/>
  <c r="G3471" i="1"/>
  <c r="F3471" i="1"/>
  <c r="E3471" i="1"/>
  <c r="D3471" i="1"/>
  <c r="B3471" i="1"/>
  <c r="A3471" i="1"/>
  <c r="G3470" i="1"/>
  <c r="F3470" i="1"/>
  <c r="E3470" i="1"/>
  <c r="D3470" i="1"/>
  <c r="B3470" i="1"/>
  <c r="A3470" i="1"/>
  <c r="G3469" i="1"/>
  <c r="F3469" i="1"/>
  <c r="E3469" i="1"/>
  <c r="D3469" i="1"/>
  <c r="B3469" i="1"/>
  <c r="A3469" i="1"/>
  <c r="G3468" i="1"/>
  <c r="F3468" i="1"/>
  <c r="E3468" i="1"/>
  <c r="D3468" i="1"/>
  <c r="B3468" i="1"/>
  <c r="A3468" i="1"/>
  <c r="G3467" i="1"/>
  <c r="F3467" i="1"/>
  <c r="E3467" i="1"/>
  <c r="D3467" i="1"/>
  <c r="B3467" i="1"/>
  <c r="A3467" i="1"/>
  <c r="G3466" i="1"/>
  <c r="F3466" i="1"/>
  <c r="E3466" i="1"/>
  <c r="D3466" i="1"/>
  <c r="B3466" i="1"/>
  <c r="A3466" i="1"/>
  <c r="G3465" i="1"/>
  <c r="F3465" i="1"/>
  <c r="E3465" i="1"/>
  <c r="D3465" i="1"/>
  <c r="B3465" i="1"/>
  <c r="A3465" i="1"/>
  <c r="G3464" i="1"/>
  <c r="F3464" i="1"/>
  <c r="E3464" i="1"/>
  <c r="D3464" i="1"/>
  <c r="B3464" i="1"/>
  <c r="A3464" i="1"/>
  <c r="G3463" i="1"/>
  <c r="F3463" i="1"/>
  <c r="E3463" i="1"/>
  <c r="D3463" i="1"/>
  <c r="B3463" i="1"/>
  <c r="A3463" i="1"/>
  <c r="G3462" i="1"/>
  <c r="F3462" i="1"/>
  <c r="E3462" i="1"/>
  <c r="D3462" i="1"/>
  <c r="B3462" i="1"/>
  <c r="A3462" i="1"/>
  <c r="G3461" i="1"/>
  <c r="F3461" i="1"/>
  <c r="E3461" i="1"/>
  <c r="D3461" i="1"/>
  <c r="B3461" i="1"/>
  <c r="A3461" i="1"/>
  <c r="G3460" i="1"/>
  <c r="F3460" i="1"/>
  <c r="E3460" i="1"/>
  <c r="D3460" i="1"/>
  <c r="B3460" i="1"/>
  <c r="A3460" i="1"/>
  <c r="G3459" i="1"/>
  <c r="F3459" i="1"/>
  <c r="E3459" i="1"/>
  <c r="D3459" i="1"/>
  <c r="B3459" i="1"/>
  <c r="A3459" i="1"/>
  <c r="G3458" i="1"/>
  <c r="F3458" i="1"/>
  <c r="E3458" i="1"/>
  <c r="D3458" i="1"/>
  <c r="B3458" i="1"/>
  <c r="A3458" i="1"/>
  <c r="G3457" i="1"/>
  <c r="F3457" i="1"/>
  <c r="E3457" i="1"/>
  <c r="D3457" i="1"/>
  <c r="B3457" i="1"/>
  <c r="A3457" i="1"/>
  <c r="G3456" i="1"/>
  <c r="F3456" i="1"/>
  <c r="E3456" i="1"/>
  <c r="D3456" i="1"/>
  <c r="B3456" i="1"/>
  <c r="A3456" i="1"/>
  <c r="G3455" i="1"/>
  <c r="F3455" i="1"/>
  <c r="E3455" i="1"/>
  <c r="D3455" i="1"/>
  <c r="B3455" i="1"/>
  <c r="A3455" i="1"/>
  <c r="G3454" i="1"/>
  <c r="F3454" i="1"/>
  <c r="E3454" i="1"/>
  <c r="D3454" i="1"/>
  <c r="B3454" i="1"/>
  <c r="A3454" i="1"/>
  <c r="G3453" i="1"/>
  <c r="F3453" i="1"/>
  <c r="E3453" i="1"/>
  <c r="D3453" i="1"/>
  <c r="B3453" i="1"/>
  <c r="A3453" i="1"/>
  <c r="G3452" i="1"/>
  <c r="F3452" i="1"/>
  <c r="E3452" i="1"/>
  <c r="D3452" i="1"/>
  <c r="B3452" i="1"/>
  <c r="A3452" i="1"/>
  <c r="G3451" i="1"/>
  <c r="F3451" i="1"/>
  <c r="E3451" i="1"/>
  <c r="D3451" i="1"/>
  <c r="B3451" i="1"/>
  <c r="A3451" i="1"/>
  <c r="G3450" i="1"/>
  <c r="F3450" i="1"/>
  <c r="E3450" i="1"/>
  <c r="D3450" i="1"/>
  <c r="B3450" i="1"/>
  <c r="A3450" i="1"/>
  <c r="G3449" i="1"/>
  <c r="F3449" i="1"/>
  <c r="E3449" i="1"/>
  <c r="D3449" i="1"/>
  <c r="B3449" i="1"/>
  <c r="A3449" i="1"/>
  <c r="G3448" i="1"/>
  <c r="F3448" i="1"/>
  <c r="E3448" i="1"/>
  <c r="D3448" i="1"/>
  <c r="B3448" i="1"/>
  <c r="A3448" i="1"/>
  <c r="G3447" i="1"/>
  <c r="F3447" i="1"/>
  <c r="E3447" i="1"/>
  <c r="D3447" i="1"/>
  <c r="B3447" i="1"/>
  <c r="A3447" i="1"/>
  <c r="G3446" i="1"/>
  <c r="F3446" i="1"/>
  <c r="E3446" i="1"/>
  <c r="D3446" i="1"/>
  <c r="B3446" i="1"/>
  <c r="A3446" i="1"/>
  <c r="G3445" i="1"/>
  <c r="F3445" i="1"/>
  <c r="E3445" i="1"/>
  <c r="D3445" i="1"/>
  <c r="B3445" i="1"/>
  <c r="A3445" i="1"/>
  <c r="G3444" i="1"/>
  <c r="F3444" i="1"/>
  <c r="E3444" i="1"/>
  <c r="D3444" i="1"/>
  <c r="B3444" i="1"/>
  <c r="A3444" i="1"/>
  <c r="G3443" i="1"/>
  <c r="F3443" i="1"/>
  <c r="E3443" i="1"/>
  <c r="D3443" i="1"/>
  <c r="B3443" i="1"/>
  <c r="A3443" i="1"/>
  <c r="G3442" i="1"/>
  <c r="F3442" i="1"/>
  <c r="E3442" i="1"/>
  <c r="D3442" i="1"/>
  <c r="B3442" i="1"/>
  <c r="A3442" i="1"/>
  <c r="G3441" i="1"/>
  <c r="F3441" i="1"/>
  <c r="E3441" i="1"/>
  <c r="D3441" i="1"/>
  <c r="B3441" i="1"/>
  <c r="A3441" i="1"/>
  <c r="G3440" i="1"/>
  <c r="F3440" i="1"/>
  <c r="E3440" i="1"/>
  <c r="D3440" i="1"/>
  <c r="B3440" i="1"/>
  <c r="A3440" i="1"/>
  <c r="G3439" i="1"/>
  <c r="F3439" i="1"/>
  <c r="E3439" i="1"/>
  <c r="D3439" i="1"/>
  <c r="B3439" i="1"/>
  <c r="A3439" i="1"/>
  <c r="G3438" i="1"/>
  <c r="F3438" i="1"/>
  <c r="E3438" i="1"/>
  <c r="D3438" i="1"/>
  <c r="B3438" i="1"/>
  <c r="A3438" i="1"/>
  <c r="G3437" i="1"/>
  <c r="F3437" i="1"/>
  <c r="E3437" i="1"/>
  <c r="D3437" i="1"/>
  <c r="B3437" i="1"/>
  <c r="A3437" i="1"/>
  <c r="G3436" i="1"/>
  <c r="F3436" i="1"/>
  <c r="E3436" i="1"/>
  <c r="D3436" i="1"/>
  <c r="B3436" i="1"/>
  <c r="A3436" i="1"/>
  <c r="G3435" i="1"/>
  <c r="F3435" i="1"/>
  <c r="E3435" i="1"/>
  <c r="D3435" i="1"/>
  <c r="B3435" i="1"/>
  <c r="A3435" i="1"/>
  <c r="G3434" i="1"/>
  <c r="F3434" i="1"/>
  <c r="E3434" i="1"/>
  <c r="D3434" i="1"/>
  <c r="B3434" i="1"/>
  <c r="A3434" i="1"/>
  <c r="G3433" i="1"/>
  <c r="F3433" i="1"/>
  <c r="E3433" i="1"/>
  <c r="D3433" i="1"/>
  <c r="B3433" i="1"/>
  <c r="A3433" i="1"/>
  <c r="G3432" i="1"/>
  <c r="F3432" i="1"/>
  <c r="E3432" i="1"/>
  <c r="D3432" i="1"/>
  <c r="B3432" i="1"/>
  <c r="A3432" i="1"/>
  <c r="G3431" i="1"/>
  <c r="F3431" i="1"/>
  <c r="E3431" i="1"/>
  <c r="D3431" i="1"/>
  <c r="B3431" i="1"/>
  <c r="A3431" i="1"/>
  <c r="G3430" i="1"/>
  <c r="F3430" i="1"/>
  <c r="E3430" i="1"/>
  <c r="D3430" i="1"/>
  <c r="B3430" i="1"/>
  <c r="A3430" i="1"/>
  <c r="G3429" i="1"/>
  <c r="F3429" i="1"/>
  <c r="E3429" i="1"/>
  <c r="D3429" i="1"/>
  <c r="B3429" i="1"/>
  <c r="A3429" i="1"/>
  <c r="G3428" i="1"/>
  <c r="F3428" i="1"/>
  <c r="E3428" i="1"/>
  <c r="D3428" i="1"/>
  <c r="B3428" i="1"/>
  <c r="A3428" i="1"/>
  <c r="G3427" i="1"/>
  <c r="F3427" i="1"/>
  <c r="E3427" i="1"/>
  <c r="D3427" i="1"/>
  <c r="B3427" i="1"/>
  <c r="A3427" i="1"/>
  <c r="G3426" i="1"/>
  <c r="F3426" i="1"/>
  <c r="E3426" i="1"/>
  <c r="D3426" i="1"/>
  <c r="B3426" i="1"/>
  <c r="A3426" i="1"/>
  <c r="G3425" i="1"/>
  <c r="F3425" i="1"/>
  <c r="E3425" i="1"/>
  <c r="D3425" i="1"/>
  <c r="B3425" i="1"/>
  <c r="A3425" i="1"/>
  <c r="G3424" i="1"/>
  <c r="F3424" i="1"/>
  <c r="E3424" i="1"/>
  <c r="D3424" i="1"/>
  <c r="B3424" i="1"/>
  <c r="A3424" i="1"/>
  <c r="G3423" i="1"/>
  <c r="F3423" i="1"/>
  <c r="E3423" i="1"/>
  <c r="D3423" i="1"/>
  <c r="B3423" i="1"/>
  <c r="A3423" i="1"/>
  <c r="G3422" i="1"/>
  <c r="F3422" i="1"/>
  <c r="E3422" i="1"/>
  <c r="D3422" i="1"/>
  <c r="B3422" i="1"/>
  <c r="A3422" i="1"/>
  <c r="G3421" i="1"/>
  <c r="F3421" i="1"/>
  <c r="E3421" i="1"/>
  <c r="D3421" i="1"/>
  <c r="B3421" i="1"/>
  <c r="A3421" i="1"/>
  <c r="G3420" i="1"/>
  <c r="F3420" i="1"/>
  <c r="E3420" i="1"/>
  <c r="D3420" i="1"/>
  <c r="B3420" i="1"/>
  <c r="A3420" i="1"/>
  <c r="G3419" i="1"/>
  <c r="F3419" i="1"/>
  <c r="E3419" i="1"/>
  <c r="D3419" i="1"/>
  <c r="B3419" i="1"/>
  <c r="A3419" i="1"/>
  <c r="G3418" i="1"/>
  <c r="F3418" i="1"/>
  <c r="E3418" i="1"/>
  <c r="D3418" i="1"/>
  <c r="B3418" i="1"/>
  <c r="A3418" i="1"/>
  <c r="G3417" i="1"/>
  <c r="F3417" i="1"/>
  <c r="E3417" i="1"/>
  <c r="D3417" i="1"/>
  <c r="B3417" i="1"/>
  <c r="A3417" i="1"/>
  <c r="G3416" i="1"/>
  <c r="F3416" i="1"/>
  <c r="E3416" i="1"/>
  <c r="D3416" i="1"/>
  <c r="B3416" i="1"/>
  <c r="A3416" i="1"/>
  <c r="G3415" i="1"/>
  <c r="F3415" i="1"/>
  <c r="E3415" i="1"/>
  <c r="D3415" i="1"/>
  <c r="B3415" i="1"/>
  <c r="A3415" i="1"/>
  <c r="G3414" i="1"/>
  <c r="F3414" i="1"/>
  <c r="E3414" i="1"/>
  <c r="D3414" i="1"/>
  <c r="B3414" i="1"/>
  <c r="A3414" i="1"/>
  <c r="G3413" i="1"/>
  <c r="F3413" i="1"/>
  <c r="E3413" i="1"/>
  <c r="D3413" i="1"/>
  <c r="B3413" i="1"/>
  <c r="A3413" i="1"/>
  <c r="G3412" i="1"/>
  <c r="F3412" i="1"/>
  <c r="E3412" i="1"/>
  <c r="D3412" i="1"/>
  <c r="B3412" i="1"/>
  <c r="A3412" i="1"/>
  <c r="G3411" i="1"/>
  <c r="F3411" i="1"/>
  <c r="E3411" i="1"/>
  <c r="D3411" i="1"/>
  <c r="B3411" i="1"/>
  <c r="A3411" i="1"/>
  <c r="G3410" i="1"/>
  <c r="F3410" i="1"/>
  <c r="E3410" i="1"/>
  <c r="D3410" i="1"/>
  <c r="B3410" i="1"/>
  <c r="A3410" i="1"/>
  <c r="G3409" i="1"/>
  <c r="F3409" i="1"/>
  <c r="E3409" i="1"/>
  <c r="D3409" i="1"/>
  <c r="B3409" i="1"/>
  <c r="A3409" i="1"/>
  <c r="G3408" i="1"/>
  <c r="F3408" i="1"/>
  <c r="E3408" i="1"/>
  <c r="D3408" i="1"/>
  <c r="B3408" i="1"/>
  <c r="A3408" i="1"/>
  <c r="G3407" i="1"/>
  <c r="F3407" i="1"/>
  <c r="E3407" i="1"/>
  <c r="D3407" i="1"/>
  <c r="B3407" i="1"/>
  <c r="A3407" i="1"/>
  <c r="G3406" i="1"/>
  <c r="F3406" i="1"/>
  <c r="E3406" i="1"/>
  <c r="D3406" i="1"/>
  <c r="B3406" i="1"/>
  <c r="A3406" i="1"/>
  <c r="G3405" i="1"/>
  <c r="F3405" i="1"/>
  <c r="E3405" i="1"/>
  <c r="D3405" i="1"/>
  <c r="B3405" i="1"/>
  <c r="A3405" i="1"/>
  <c r="G3404" i="1"/>
  <c r="F3404" i="1"/>
  <c r="E3404" i="1"/>
  <c r="D3404" i="1"/>
  <c r="B3404" i="1"/>
  <c r="A3404" i="1"/>
  <c r="G3403" i="1"/>
  <c r="F3403" i="1"/>
  <c r="E3403" i="1"/>
  <c r="D3403" i="1"/>
  <c r="B3403" i="1"/>
  <c r="A3403" i="1"/>
  <c r="G3402" i="1"/>
  <c r="F3402" i="1"/>
  <c r="E3402" i="1"/>
  <c r="D3402" i="1"/>
  <c r="B3402" i="1"/>
  <c r="A3402" i="1"/>
  <c r="G3401" i="1"/>
  <c r="F3401" i="1"/>
  <c r="E3401" i="1"/>
  <c r="D3401" i="1"/>
  <c r="B3401" i="1"/>
  <c r="A3401" i="1"/>
  <c r="G3400" i="1"/>
  <c r="F3400" i="1"/>
  <c r="E3400" i="1"/>
  <c r="D3400" i="1"/>
  <c r="B3400" i="1"/>
  <c r="A3400" i="1"/>
  <c r="G3399" i="1"/>
  <c r="F3399" i="1"/>
  <c r="E3399" i="1"/>
  <c r="D3399" i="1"/>
  <c r="B3399" i="1"/>
  <c r="A3399" i="1"/>
  <c r="G3398" i="1"/>
  <c r="F3398" i="1"/>
  <c r="E3398" i="1"/>
  <c r="D3398" i="1"/>
  <c r="B3398" i="1"/>
  <c r="A3398" i="1"/>
  <c r="G3397" i="1"/>
  <c r="F3397" i="1"/>
  <c r="E3397" i="1"/>
  <c r="D3397" i="1"/>
  <c r="B3397" i="1"/>
  <c r="A3397" i="1"/>
  <c r="G3396" i="1"/>
  <c r="F3396" i="1"/>
  <c r="E3396" i="1"/>
  <c r="D3396" i="1"/>
  <c r="B3396" i="1"/>
  <c r="A3396" i="1"/>
  <c r="G3395" i="1"/>
  <c r="F3395" i="1"/>
  <c r="E3395" i="1"/>
  <c r="D3395" i="1"/>
  <c r="B3395" i="1"/>
  <c r="A3395" i="1"/>
  <c r="G3394" i="1"/>
  <c r="F3394" i="1"/>
  <c r="E3394" i="1"/>
  <c r="D3394" i="1"/>
  <c r="B3394" i="1"/>
  <c r="A3394" i="1"/>
  <c r="G3393" i="1"/>
  <c r="F3393" i="1"/>
  <c r="E3393" i="1"/>
  <c r="D3393" i="1"/>
  <c r="B3393" i="1"/>
  <c r="A3393" i="1"/>
  <c r="G3392" i="1"/>
  <c r="F3392" i="1"/>
  <c r="E3392" i="1"/>
  <c r="D3392" i="1"/>
  <c r="B3392" i="1"/>
  <c r="A3392" i="1"/>
  <c r="G3391" i="1"/>
  <c r="F3391" i="1"/>
  <c r="E3391" i="1"/>
  <c r="D3391" i="1"/>
  <c r="B3391" i="1"/>
  <c r="A3391" i="1"/>
  <c r="G3390" i="1"/>
  <c r="F3390" i="1"/>
  <c r="E3390" i="1"/>
  <c r="D3390" i="1"/>
  <c r="B3390" i="1"/>
  <c r="A3390" i="1"/>
  <c r="G3389" i="1"/>
  <c r="F3389" i="1"/>
  <c r="E3389" i="1"/>
  <c r="D3389" i="1"/>
  <c r="B3389" i="1"/>
  <c r="A3389" i="1"/>
  <c r="G3388" i="1"/>
  <c r="F3388" i="1"/>
  <c r="E3388" i="1"/>
  <c r="D3388" i="1"/>
  <c r="B3388" i="1"/>
  <c r="A3388" i="1"/>
  <c r="G3387" i="1"/>
  <c r="F3387" i="1"/>
  <c r="E3387" i="1"/>
  <c r="D3387" i="1"/>
  <c r="B3387" i="1"/>
  <c r="A3387" i="1"/>
  <c r="G3386" i="1"/>
  <c r="F3386" i="1"/>
  <c r="E3386" i="1"/>
  <c r="D3386" i="1"/>
  <c r="B3386" i="1"/>
  <c r="A3386" i="1"/>
  <c r="G3385" i="1"/>
  <c r="F3385" i="1"/>
  <c r="E3385" i="1"/>
  <c r="D3385" i="1"/>
  <c r="B3385" i="1"/>
  <c r="A3385" i="1"/>
  <c r="G3384" i="1"/>
  <c r="F3384" i="1"/>
  <c r="E3384" i="1"/>
  <c r="D3384" i="1"/>
  <c r="B3384" i="1"/>
  <c r="A3384" i="1"/>
  <c r="G3383" i="1"/>
  <c r="F3383" i="1"/>
  <c r="E3383" i="1"/>
  <c r="D3383" i="1"/>
  <c r="B3383" i="1"/>
  <c r="A3383" i="1"/>
  <c r="G3382" i="1"/>
  <c r="F3382" i="1"/>
  <c r="E3382" i="1"/>
  <c r="D3382" i="1"/>
  <c r="B3382" i="1"/>
  <c r="A3382" i="1"/>
  <c r="G3381" i="1"/>
  <c r="F3381" i="1"/>
  <c r="E3381" i="1"/>
  <c r="D3381" i="1"/>
  <c r="B3381" i="1"/>
  <c r="A3381" i="1"/>
  <c r="G3380" i="1"/>
  <c r="F3380" i="1"/>
  <c r="E3380" i="1"/>
  <c r="D3380" i="1"/>
  <c r="B3380" i="1"/>
  <c r="A3380" i="1"/>
  <c r="G3379" i="1"/>
  <c r="F3379" i="1"/>
  <c r="E3379" i="1"/>
  <c r="D3379" i="1"/>
  <c r="B3379" i="1"/>
  <c r="A3379" i="1"/>
  <c r="G3378" i="1"/>
  <c r="F3378" i="1"/>
  <c r="E3378" i="1"/>
  <c r="D3378" i="1"/>
  <c r="B3378" i="1"/>
  <c r="A3378" i="1"/>
  <c r="G3377" i="1"/>
  <c r="F3377" i="1"/>
  <c r="E3377" i="1"/>
  <c r="D3377" i="1"/>
  <c r="B3377" i="1"/>
  <c r="A3377" i="1"/>
  <c r="G3376" i="1"/>
  <c r="F3376" i="1"/>
  <c r="E3376" i="1"/>
  <c r="D3376" i="1"/>
  <c r="B3376" i="1"/>
  <c r="A3376" i="1"/>
  <c r="G3375" i="1"/>
  <c r="F3375" i="1"/>
  <c r="E3375" i="1"/>
  <c r="D3375" i="1"/>
  <c r="B3375" i="1"/>
  <c r="A3375" i="1"/>
  <c r="G3374" i="1"/>
  <c r="F3374" i="1"/>
  <c r="E3374" i="1"/>
  <c r="D3374" i="1"/>
  <c r="B3374" i="1"/>
  <c r="A3374" i="1"/>
  <c r="G3373" i="1"/>
  <c r="F3373" i="1"/>
  <c r="E3373" i="1"/>
  <c r="D3373" i="1"/>
  <c r="B3373" i="1"/>
  <c r="A3373" i="1"/>
  <c r="G3372" i="1"/>
  <c r="F3372" i="1"/>
  <c r="E3372" i="1"/>
  <c r="D3372" i="1"/>
  <c r="B3372" i="1"/>
  <c r="A3372" i="1"/>
  <c r="G3371" i="1"/>
  <c r="F3371" i="1"/>
  <c r="E3371" i="1"/>
  <c r="D3371" i="1"/>
  <c r="B3371" i="1"/>
  <c r="A3371" i="1"/>
  <c r="G3370" i="1"/>
  <c r="F3370" i="1"/>
  <c r="E3370" i="1"/>
  <c r="D3370" i="1"/>
  <c r="B3370" i="1"/>
  <c r="A3370" i="1"/>
  <c r="G3369" i="1"/>
  <c r="F3369" i="1"/>
  <c r="E3369" i="1"/>
  <c r="D3369" i="1"/>
  <c r="B3369" i="1"/>
  <c r="A3369" i="1"/>
  <c r="G3368" i="1"/>
  <c r="F3368" i="1"/>
  <c r="E3368" i="1"/>
  <c r="D3368" i="1"/>
  <c r="B3368" i="1"/>
  <c r="A3368" i="1"/>
  <c r="G3367" i="1"/>
  <c r="F3367" i="1"/>
  <c r="E3367" i="1"/>
  <c r="D3367" i="1"/>
  <c r="B3367" i="1"/>
  <c r="A3367" i="1"/>
  <c r="G3366" i="1"/>
  <c r="F3366" i="1"/>
  <c r="E3366" i="1"/>
  <c r="D3366" i="1"/>
  <c r="B3366" i="1"/>
  <c r="A3366" i="1"/>
  <c r="G3365" i="1"/>
  <c r="F3365" i="1"/>
  <c r="E3365" i="1"/>
  <c r="D3365" i="1"/>
  <c r="B3365" i="1"/>
  <c r="A3365" i="1"/>
  <c r="G3364" i="1"/>
  <c r="F3364" i="1"/>
  <c r="E3364" i="1"/>
  <c r="D3364" i="1"/>
  <c r="B3364" i="1"/>
  <c r="A3364" i="1"/>
  <c r="G3363" i="1"/>
  <c r="F3363" i="1"/>
  <c r="E3363" i="1"/>
  <c r="D3363" i="1"/>
  <c r="B3363" i="1"/>
  <c r="A3363" i="1"/>
  <c r="G3362" i="1"/>
  <c r="F3362" i="1"/>
  <c r="E3362" i="1"/>
  <c r="D3362" i="1"/>
  <c r="B3362" i="1"/>
  <c r="A3362" i="1"/>
  <c r="G3361" i="1"/>
  <c r="F3361" i="1"/>
  <c r="E3361" i="1"/>
  <c r="D3361" i="1"/>
  <c r="B3361" i="1"/>
  <c r="A3361" i="1"/>
  <c r="G3360" i="1"/>
  <c r="F3360" i="1"/>
  <c r="E3360" i="1"/>
  <c r="D3360" i="1"/>
  <c r="B3360" i="1"/>
  <c r="A3360" i="1"/>
  <c r="G3359" i="1"/>
  <c r="F3359" i="1"/>
  <c r="E3359" i="1"/>
  <c r="D3359" i="1"/>
  <c r="B3359" i="1"/>
  <c r="A3359" i="1"/>
  <c r="G3358" i="1"/>
  <c r="F3358" i="1"/>
  <c r="E3358" i="1"/>
  <c r="D3358" i="1"/>
  <c r="B3358" i="1"/>
  <c r="A3358" i="1"/>
  <c r="G3357" i="1"/>
  <c r="F3357" i="1"/>
  <c r="E3357" i="1"/>
  <c r="D3357" i="1"/>
  <c r="B3357" i="1"/>
  <c r="A3357" i="1"/>
  <c r="G3356" i="1"/>
  <c r="F3356" i="1"/>
  <c r="E3356" i="1"/>
  <c r="D3356" i="1"/>
  <c r="B3356" i="1"/>
  <c r="A3356" i="1"/>
  <c r="G3355" i="1"/>
  <c r="F3355" i="1"/>
  <c r="E3355" i="1"/>
  <c r="D3355" i="1"/>
  <c r="B3355" i="1"/>
  <c r="A3355" i="1"/>
  <c r="G3354" i="1"/>
  <c r="F3354" i="1"/>
  <c r="E3354" i="1"/>
  <c r="D3354" i="1"/>
  <c r="B3354" i="1"/>
  <c r="A3354" i="1"/>
  <c r="G3353" i="1"/>
  <c r="F3353" i="1"/>
  <c r="E3353" i="1"/>
  <c r="D3353" i="1"/>
  <c r="B3353" i="1"/>
  <c r="A3353" i="1"/>
  <c r="G3352" i="1"/>
  <c r="F3352" i="1"/>
  <c r="E3352" i="1"/>
  <c r="D3352" i="1"/>
  <c r="B3352" i="1"/>
  <c r="A3352" i="1"/>
  <c r="G3351" i="1"/>
  <c r="F3351" i="1"/>
  <c r="E3351" i="1"/>
  <c r="D3351" i="1"/>
  <c r="B3351" i="1"/>
  <c r="A3351" i="1"/>
  <c r="G3350" i="1"/>
  <c r="F3350" i="1"/>
  <c r="E3350" i="1"/>
  <c r="D3350" i="1"/>
  <c r="B3350" i="1"/>
  <c r="A3350" i="1"/>
  <c r="G3349" i="1"/>
  <c r="F3349" i="1"/>
  <c r="E3349" i="1"/>
  <c r="D3349" i="1"/>
  <c r="B3349" i="1"/>
  <c r="A3349" i="1"/>
  <c r="G3348" i="1"/>
  <c r="F3348" i="1"/>
  <c r="E3348" i="1"/>
  <c r="D3348" i="1"/>
  <c r="B3348" i="1"/>
  <c r="A3348" i="1"/>
  <c r="G3347" i="1"/>
  <c r="F3347" i="1"/>
  <c r="E3347" i="1"/>
  <c r="D3347" i="1"/>
  <c r="B3347" i="1"/>
  <c r="A3347" i="1"/>
  <c r="G3346" i="1"/>
  <c r="F3346" i="1"/>
  <c r="E3346" i="1"/>
  <c r="D3346" i="1"/>
  <c r="B3346" i="1"/>
  <c r="A3346" i="1"/>
  <c r="G3345" i="1"/>
  <c r="F3345" i="1"/>
  <c r="E3345" i="1"/>
  <c r="D3345" i="1"/>
  <c r="B3345" i="1"/>
  <c r="A3345" i="1"/>
  <c r="G3344" i="1"/>
  <c r="F3344" i="1"/>
  <c r="E3344" i="1"/>
  <c r="D3344" i="1"/>
  <c r="B3344" i="1"/>
  <c r="A3344" i="1"/>
  <c r="G3343" i="1"/>
  <c r="F3343" i="1"/>
  <c r="E3343" i="1"/>
  <c r="D3343" i="1"/>
  <c r="B3343" i="1"/>
  <c r="A3343" i="1"/>
  <c r="G3342" i="1"/>
  <c r="F3342" i="1"/>
  <c r="E3342" i="1"/>
  <c r="D3342" i="1"/>
  <c r="B3342" i="1"/>
  <c r="A3342" i="1"/>
  <c r="G3341" i="1"/>
  <c r="F3341" i="1"/>
  <c r="E3341" i="1"/>
  <c r="D3341" i="1"/>
  <c r="B3341" i="1"/>
  <c r="A3341" i="1"/>
  <c r="G3340" i="1"/>
  <c r="F3340" i="1"/>
  <c r="E3340" i="1"/>
  <c r="D3340" i="1"/>
  <c r="B3340" i="1"/>
  <c r="A3340" i="1"/>
  <c r="G3339" i="1"/>
  <c r="F3339" i="1"/>
  <c r="E3339" i="1"/>
  <c r="D3339" i="1"/>
  <c r="B3339" i="1"/>
  <c r="A3339" i="1"/>
  <c r="G3338" i="1"/>
  <c r="F3338" i="1"/>
  <c r="E3338" i="1"/>
  <c r="D3338" i="1"/>
  <c r="B3338" i="1"/>
  <c r="A3338" i="1"/>
  <c r="G3337" i="1"/>
  <c r="F3337" i="1"/>
  <c r="E3337" i="1"/>
  <c r="D3337" i="1"/>
  <c r="B3337" i="1"/>
  <c r="A3337" i="1"/>
  <c r="G3336" i="1"/>
  <c r="F3336" i="1"/>
  <c r="E3336" i="1"/>
  <c r="D3336" i="1"/>
  <c r="B3336" i="1"/>
  <c r="A3336" i="1"/>
  <c r="G3335" i="1"/>
  <c r="F3335" i="1"/>
  <c r="E3335" i="1"/>
  <c r="D3335" i="1"/>
  <c r="B3335" i="1"/>
  <c r="A3335" i="1"/>
  <c r="G3334" i="1"/>
  <c r="F3334" i="1"/>
  <c r="E3334" i="1"/>
  <c r="D3334" i="1"/>
  <c r="B3334" i="1"/>
  <c r="A3334" i="1"/>
  <c r="G3333" i="1"/>
  <c r="F3333" i="1"/>
  <c r="E3333" i="1"/>
  <c r="D3333" i="1"/>
  <c r="B3333" i="1"/>
  <c r="A3333" i="1"/>
  <c r="G3332" i="1"/>
  <c r="F3332" i="1"/>
  <c r="E3332" i="1"/>
  <c r="D3332" i="1"/>
  <c r="B3332" i="1"/>
  <c r="A3332" i="1"/>
  <c r="G3331" i="1"/>
  <c r="F3331" i="1"/>
  <c r="E3331" i="1"/>
  <c r="D3331" i="1"/>
  <c r="B3331" i="1"/>
  <c r="A3331" i="1"/>
  <c r="G3330" i="1"/>
  <c r="F3330" i="1"/>
  <c r="E3330" i="1"/>
  <c r="D3330" i="1"/>
  <c r="B3330" i="1"/>
  <c r="A3330" i="1"/>
  <c r="G3329" i="1"/>
  <c r="F3329" i="1"/>
  <c r="E3329" i="1"/>
  <c r="D3329" i="1"/>
  <c r="B3329" i="1"/>
  <c r="A3329" i="1"/>
  <c r="G3328" i="1"/>
  <c r="F3328" i="1"/>
  <c r="E3328" i="1"/>
  <c r="D3328" i="1"/>
  <c r="B3328" i="1"/>
  <c r="A3328" i="1"/>
  <c r="G3327" i="1"/>
  <c r="F3327" i="1"/>
  <c r="E3327" i="1"/>
  <c r="D3327" i="1"/>
  <c r="B3327" i="1"/>
  <c r="A3327" i="1"/>
  <c r="G3326" i="1"/>
  <c r="F3326" i="1"/>
  <c r="E3326" i="1"/>
  <c r="D3326" i="1"/>
  <c r="B3326" i="1"/>
  <c r="A3326" i="1"/>
  <c r="G3325" i="1"/>
  <c r="F3325" i="1"/>
  <c r="E3325" i="1"/>
  <c r="D3325" i="1"/>
  <c r="B3325" i="1"/>
  <c r="A3325" i="1"/>
  <c r="G3324" i="1"/>
  <c r="F3324" i="1"/>
  <c r="E3324" i="1"/>
  <c r="D3324" i="1"/>
  <c r="B3324" i="1"/>
  <c r="A3324" i="1"/>
  <c r="G3323" i="1"/>
  <c r="F3323" i="1"/>
  <c r="E3323" i="1"/>
  <c r="D3323" i="1"/>
  <c r="B3323" i="1"/>
  <c r="A3323" i="1"/>
  <c r="G3322" i="1"/>
  <c r="F3322" i="1"/>
  <c r="E3322" i="1"/>
  <c r="D3322" i="1"/>
  <c r="B3322" i="1"/>
  <c r="A3322" i="1"/>
  <c r="G3321" i="1"/>
  <c r="F3321" i="1"/>
  <c r="E3321" i="1"/>
  <c r="D3321" i="1"/>
  <c r="B3321" i="1"/>
  <c r="A3321" i="1"/>
  <c r="G3320" i="1"/>
  <c r="F3320" i="1"/>
  <c r="E3320" i="1"/>
  <c r="D3320" i="1"/>
  <c r="B3320" i="1"/>
  <c r="A3320" i="1"/>
  <c r="G3319" i="1"/>
  <c r="F3319" i="1"/>
  <c r="E3319" i="1"/>
  <c r="D3319" i="1"/>
  <c r="B3319" i="1"/>
  <c r="A3319" i="1"/>
  <c r="G3318" i="1"/>
  <c r="F3318" i="1"/>
  <c r="E3318" i="1"/>
  <c r="D3318" i="1"/>
  <c r="B3318" i="1"/>
  <c r="A3318" i="1"/>
  <c r="G3317" i="1"/>
  <c r="F3317" i="1"/>
  <c r="E3317" i="1"/>
  <c r="D3317" i="1"/>
  <c r="B3317" i="1"/>
  <c r="A3317" i="1"/>
  <c r="G3316" i="1"/>
  <c r="F3316" i="1"/>
  <c r="E3316" i="1"/>
  <c r="D3316" i="1"/>
  <c r="B3316" i="1"/>
  <c r="A3316" i="1"/>
  <c r="G3315" i="1"/>
  <c r="F3315" i="1"/>
  <c r="E3315" i="1"/>
  <c r="D3315" i="1"/>
  <c r="B3315" i="1"/>
  <c r="A3315" i="1"/>
  <c r="G3314" i="1"/>
  <c r="F3314" i="1"/>
  <c r="E3314" i="1"/>
  <c r="D3314" i="1"/>
  <c r="B3314" i="1"/>
  <c r="A3314" i="1"/>
  <c r="G3313" i="1"/>
  <c r="F3313" i="1"/>
  <c r="E3313" i="1"/>
  <c r="D3313" i="1"/>
  <c r="B3313" i="1"/>
  <c r="A3313" i="1"/>
  <c r="G3312" i="1"/>
  <c r="F3312" i="1"/>
  <c r="E3312" i="1"/>
  <c r="D3312" i="1"/>
  <c r="B3312" i="1"/>
  <c r="A3312" i="1"/>
  <c r="G3311" i="1"/>
  <c r="F3311" i="1"/>
  <c r="E3311" i="1"/>
  <c r="D3311" i="1"/>
  <c r="B3311" i="1"/>
  <c r="A3311" i="1"/>
  <c r="G3310" i="1"/>
  <c r="F3310" i="1"/>
  <c r="E3310" i="1"/>
  <c r="D3310" i="1"/>
  <c r="B3310" i="1"/>
  <c r="A3310" i="1"/>
  <c r="G3309" i="1"/>
  <c r="F3309" i="1"/>
  <c r="E3309" i="1"/>
  <c r="D3309" i="1"/>
  <c r="B3309" i="1"/>
  <c r="A3309" i="1"/>
  <c r="G3308" i="1"/>
  <c r="F3308" i="1"/>
  <c r="E3308" i="1"/>
  <c r="D3308" i="1"/>
  <c r="B3308" i="1"/>
  <c r="A3308" i="1"/>
  <c r="G3307" i="1"/>
  <c r="F3307" i="1"/>
  <c r="E3307" i="1"/>
  <c r="D3307" i="1"/>
  <c r="B3307" i="1"/>
  <c r="A3307" i="1"/>
  <c r="G3306" i="1"/>
  <c r="F3306" i="1"/>
  <c r="E3306" i="1"/>
  <c r="D3306" i="1"/>
  <c r="B3306" i="1"/>
  <c r="A3306" i="1"/>
  <c r="G3305" i="1"/>
  <c r="F3305" i="1"/>
  <c r="E3305" i="1"/>
  <c r="D3305" i="1"/>
  <c r="B3305" i="1"/>
  <c r="A3305" i="1"/>
  <c r="G3304" i="1"/>
  <c r="F3304" i="1"/>
  <c r="E3304" i="1"/>
  <c r="D3304" i="1"/>
  <c r="B3304" i="1"/>
  <c r="A3304" i="1"/>
  <c r="G3303" i="1"/>
  <c r="F3303" i="1"/>
  <c r="E3303" i="1"/>
  <c r="D3303" i="1"/>
  <c r="B3303" i="1"/>
  <c r="A3303" i="1"/>
  <c r="G3302" i="1"/>
  <c r="F3302" i="1"/>
  <c r="E3302" i="1"/>
  <c r="D3302" i="1"/>
  <c r="B3302" i="1"/>
  <c r="A3302" i="1"/>
  <c r="G3301" i="1"/>
  <c r="F3301" i="1"/>
  <c r="E3301" i="1"/>
  <c r="D3301" i="1"/>
  <c r="B3301" i="1"/>
  <c r="A3301" i="1"/>
  <c r="G3300" i="1"/>
  <c r="F3300" i="1"/>
  <c r="E3300" i="1"/>
  <c r="D3300" i="1"/>
  <c r="B3300" i="1"/>
  <c r="A3300" i="1"/>
  <c r="G3299" i="1"/>
  <c r="F3299" i="1"/>
  <c r="E3299" i="1"/>
  <c r="D3299" i="1"/>
  <c r="B3299" i="1"/>
  <c r="A3299" i="1"/>
  <c r="G3298" i="1"/>
  <c r="F3298" i="1"/>
  <c r="E3298" i="1"/>
  <c r="D3298" i="1"/>
  <c r="B3298" i="1"/>
  <c r="A3298" i="1"/>
  <c r="G3297" i="1"/>
  <c r="F3297" i="1"/>
  <c r="E3297" i="1"/>
  <c r="D3297" i="1"/>
  <c r="B3297" i="1"/>
  <c r="A3297" i="1"/>
  <c r="G3296" i="1"/>
  <c r="F3296" i="1"/>
  <c r="E3296" i="1"/>
  <c r="D3296" i="1"/>
  <c r="B3296" i="1"/>
  <c r="A3296" i="1"/>
  <c r="G3295" i="1"/>
  <c r="F3295" i="1"/>
  <c r="E3295" i="1"/>
  <c r="D3295" i="1"/>
  <c r="B3295" i="1"/>
  <c r="A3295" i="1"/>
  <c r="G3294" i="1"/>
  <c r="F3294" i="1"/>
  <c r="E3294" i="1"/>
  <c r="D3294" i="1"/>
  <c r="B3294" i="1"/>
  <c r="A3294" i="1"/>
  <c r="G3293" i="1"/>
  <c r="F3293" i="1"/>
  <c r="E3293" i="1"/>
  <c r="D3293" i="1"/>
  <c r="B3293" i="1"/>
  <c r="A3293" i="1"/>
  <c r="G3292" i="1"/>
  <c r="F3292" i="1"/>
  <c r="E3292" i="1"/>
  <c r="D3292" i="1"/>
  <c r="B3292" i="1"/>
  <c r="A3292" i="1"/>
  <c r="G3291" i="1"/>
  <c r="F3291" i="1"/>
  <c r="E3291" i="1"/>
  <c r="D3291" i="1"/>
  <c r="B3291" i="1"/>
  <c r="A3291" i="1"/>
  <c r="G3290" i="1"/>
  <c r="F3290" i="1"/>
  <c r="E3290" i="1"/>
  <c r="D3290" i="1"/>
  <c r="B3290" i="1"/>
  <c r="A3290" i="1"/>
  <c r="G3289" i="1"/>
  <c r="F3289" i="1"/>
  <c r="E3289" i="1"/>
  <c r="D3289" i="1"/>
  <c r="B3289" i="1"/>
  <c r="A3289" i="1"/>
  <c r="G3288" i="1"/>
  <c r="F3288" i="1"/>
  <c r="E3288" i="1"/>
  <c r="D3288" i="1"/>
  <c r="B3288" i="1"/>
  <c r="A3288" i="1"/>
  <c r="G3287" i="1"/>
  <c r="F3287" i="1"/>
  <c r="E3287" i="1"/>
  <c r="D3287" i="1"/>
  <c r="B3287" i="1"/>
  <c r="A3287" i="1"/>
  <c r="G3286" i="1"/>
  <c r="F3286" i="1"/>
  <c r="E3286" i="1"/>
  <c r="D3286" i="1"/>
  <c r="C3286" i="1"/>
  <c r="A3286" i="1"/>
  <c r="G3284" i="1"/>
  <c r="F3284" i="1"/>
  <c r="E3284" i="1"/>
  <c r="D3284" i="1"/>
  <c r="B3284" i="1"/>
  <c r="A3284" i="1"/>
  <c r="G3283" i="1"/>
  <c r="F3283" i="1"/>
  <c r="E3283" i="1"/>
  <c r="D3283" i="1"/>
  <c r="B3283" i="1"/>
  <c r="A3283" i="1"/>
  <c r="G3282" i="1"/>
  <c r="F3282" i="1"/>
  <c r="E3282" i="1"/>
  <c r="D3282" i="1"/>
  <c r="B3282" i="1"/>
  <c r="A3282" i="1"/>
  <c r="G3281" i="1"/>
  <c r="F3281" i="1"/>
  <c r="E3281" i="1"/>
  <c r="D3281" i="1"/>
  <c r="B3281" i="1"/>
  <c r="A3281" i="1"/>
  <c r="G3280" i="1"/>
  <c r="F3280" i="1"/>
  <c r="E3280" i="1"/>
  <c r="D3280" i="1"/>
  <c r="B3280" i="1"/>
  <c r="A3280" i="1"/>
  <c r="G3279" i="1"/>
  <c r="F3279" i="1"/>
  <c r="E3279" i="1"/>
  <c r="D3279" i="1"/>
  <c r="B3279" i="1"/>
  <c r="A3279" i="1"/>
  <c r="G3278" i="1"/>
  <c r="F3278" i="1"/>
  <c r="E3278" i="1"/>
  <c r="D3278" i="1"/>
  <c r="B3278" i="1"/>
  <c r="A3278" i="1"/>
  <c r="G3277" i="1"/>
  <c r="F3277" i="1"/>
  <c r="E3277" i="1"/>
  <c r="D3277" i="1"/>
  <c r="B3277" i="1"/>
  <c r="A3277" i="1"/>
  <c r="G3276" i="1"/>
  <c r="F3276" i="1"/>
  <c r="E3276" i="1"/>
  <c r="D3276" i="1"/>
  <c r="B3276" i="1"/>
  <c r="A3276" i="1"/>
  <c r="G3275" i="1"/>
  <c r="F3275" i="1"/>
  <c r="E3275" i="1"/>
  <c r="D3275" i="1"/>
  <c r="B3275" i="1"/>
  <c r="A3275" i="1"/>
  <c r="G3274" i="1"/>
  <c r="F3274" i="1"/>
  <c r="E3274" i="1"/>
  <c r="D3274" i="1"/>
  <c r="B3274" i="1"/>
  <c r="A3274" i="1"/>
  <c r="G3273" i="1"/>
  <c r="F3273" i="1"/>
  <c r="E3273" i="1"/>
  <c r="D3273" i="1"/>
  <c r="B3273" i="1"/>
  <c r="A3273" i="1"/>
  <c r="G3272" i="1"/>
  <c r="F3272" i="1"/>
  <c r="E3272" i="1"/>
  <c r="D3272" i="1"/>
  <c r="B3272" i="1"/>
  <c r="A3272" i="1"/>
  <c r="G3271" i="1"/>
  <c r="F3271" i="1"/>
  <c r="E3271" i="1"/>
  <c r="D3271" i="1"/>
  <c r="B3271" i="1"/>
  <c r="A3271" i="1"/>
  <c r="G3270" i="1"/>
  <c r="F3270" i="1"/>
  <c r="E3270" i="1"/>
  <c r="D3270" i="1"/>
  <c r="B3270" i="1"/>
  <c r="A3270" i="1"/>
  <c r="G3269" i="1"/>
  <c r="F3269" i="1"/>
  <c r="E3269" i="1"/>
  <c r="D3269" i="1"/>
  <c r="B3269" i="1"/>
  <c r="A3269" i="1"/>
  <c r="G3268" i="1"/>
  <c r="F3268" i="1"/>
  <c r="E3268" i="1"/>
  <c r="D3268" i="1"/>
  <c r="B3268" i="1"/>
  <c r="A3268" i="1"/>
  <c r="G3267" i="1"/>
  <c r="F3267" i="1"/>
  <c r="E3267" i="1"/>
  <c r="D3267" i="1"/>
  <c r="B3267" i="1"/>
  <c r="A3267" i="1"/>
  <c r="G3266" i="1"/>
  <c r="F3266" i="1"/>
  <c r="E3266" i="1"/>
  <c r="D3266" i="1"/>
  <c r="B3266" i="1"/>
  <c r="A3266" i="1"/>
  <c r="G3265" i="1"/>
  <c r="F3265" i="1"/>
  <c r="E3265" i="1"/>
  <c r="D3265" i="1"/>
  <c r="B3265" i="1"/>
  <c r="A3265" i="1"/>
  <c r="G3264" i="1"/>
  <c r="F3264" i="1"/>
  <c r="E3264" i="1"/>
  <c r="D3264" i="1"/>
  <c r="B3264" i="1"/>
  <c r="A3264" i="1"/>
  <c r="G3263" i="1"/>
  <c r="F3263" i="1"/>
  <c r="E3263" i="1"/>
  <c r="D3263" i="1"/>
  <c r="B3263" i="1"/>
  <c r="A3263" i="1"/>
  <c r="G3262" i="1"/>
  <c r="F3262" i="1"/>
  <c r="E3262" i="1"/>
  <c r="D3262" i="1"/>
  <c r="B3262" i="1"/>
  <c r="A3262" i="1"/>
  <c r="G3261" i="1"/>
  <c r="F3261" i="1"/>
  <c r="E3261" i="1"/>
  <c r="D3261" i="1"/>
  <c r="B3261" i="1"/>
  <c r="A3261" i="1"/>
  <c r="G3260" i="1"/>
  <c r="F3260" i="1"/>
  <c r="E3260" i="1"/>
  <c r="D3260" i="1"/>
  <c r="B3260" i="1"/>
  <c r="A3260" i="1"/>
  <c r="G3259" i="1"/>
  <c r="F3259" i="1"/>
  <c r="E3259" i="1"/>
  <c r="D3259" i="1"/>
  <c r="B3259" i="1"/>
  <c r="A3259" i="1"/>
  <c r="G3258" i="1"/>
  <c r="F3258" i="1"/>
  <c r="E3258" i="1"/>
  <c r="D3258" i="1"/>
  <c r="B3258" i="1"/>
  <c r="A3258" i="1"/>
  <c r="G3257" i="1"/>
  <c r="F3257" i="1"/>
  <c r="E3257" i="1"/>
  <c r="D3257" i="1"/>
  <c r="B3257" i="1"/>
  <c r="A3257" i="1"/>
  <c r="G3256" i="1"/>
  <c r="F3256" i="1"/>
  <c r="E3256" i="1"/>
  <c r="D3256" i="1"/>
  <c r="B3256" i="1"/>
  <c r="A3256" i="1"/>
  <c r="G3255" i="1"/>
  <c r="F3255" i="1"/>
  <c r="E3255" i="1"/>
  <c r="D3255" i="1"/>
  <c r="B3255" i="1"/>
  <c r="A3255" i="1"/>
  <c r="G3254" i="1"/>
  <c r="F3254" i="1"/>
  <c r="E3254" i="1"/>
  <c r="D3254" i="1"/>
  <c r="B3254" i="1"/>
  <c r="A3254" i="1"/>
  <c r="G3253" i="1"/>
  <c r="F3253" i="1"/>
  <c r="E3253" i="1"/>
  <c r="D3253" i="1"/>
  <c r="B3253" i="1"/>
  <c r="A3253" i="1"/>
  <c r="G3252" i="1"/>
  <c r="F3252" i="1"/>
  <c r="E3252" i="1"/>
  <c r="D3252" i="1"/>
  <c r="B3252" i="1"/>
  <c r="A3252" i="1"/>
  <c r="G3251" i="1"/>
  <c r="F3251" i="1"/>
  <c r="E3251" i="1"/>
  <c r="D3251" i="1"/>
  <c r="B3251" i="1"/>
  <c r="A3251" i="1"/>
  <c r="G3250" i="1"/>
  <c r="F3250" i="1"/>
  <c r="E3250" i="1"/>
  <c r="D3250" i="1"/>
  <c r="B3250" i="1"/>
  <c r="A3250" i="1"/>
  <c r="G3249" i="1"/>
  <c r="F3249" i="1"/>
  <c r="E3249" i="1"/>
  <c r="D3249" i="1"/>
  <c r="B3249" i="1"/>
  <c r="A3249" i="1"/>
  <c r="G3248" i="1"/>
  <c r="F3248" i="1"/>
  <c r="E3248" i="1"/>
  <c r="D3248" i="1"/>
  <c r="B3248" i="1"/>
  <c r="A3248" i="1"/>
  <c r="G3247" i="1"/>
  <c r="F3247" i="1"/>
  <c r="E3247" i="1"/>
  <c r="D3247" i="1"/>
  <c r="B3247" i="1"/>
  <c r="A3247" i="1"/>
  <c r="G3246" i="1"/>
  <c r="F3246" i="1"/>
  <c r="E3246" i="1"/>
  <c r="D3246" i="1"/>
  <c r="B3246" i="1"/>
  <c r="A3246" i="1"/>
  <c r="G3245" i="1"/>
  <c r="F3245" i="1"/>
  <c r="E3245" i="1"/>
  <c r="D3245" i="1"/>
  <c r="B3245" i="1"/>
  <c r="A3245" i="1"/>
  <c r="G3244" i="1"/>
  <c r="F3244" i="1"/>
  <c r="E3244" i="1"/>
  <c r="D3244" i="1"/>
  <c r="B3244" i="1"/>
  <c r="A3244" i="1"/>
  <c r="G3243" i="1"/>
  <c r="F3243" i="1"/>
  <c r="E3243" i="1"/>
  <c r="D3243" i="1"/>
  <c r="B3243" i="1"/>
  <c r="A3243" i="1"/>
  <c r="G3242" i="1"/>
  <c r="F3242" i="1"/>
  <c r="E3242" i="1"/>
  <c r="D3242" i="1"/>
  <c r="B3242" i="1"/>
  <c r="A3242" i="1"/>
  <c r="G3241" i="1"/>
  <c r="F3241" i="1"/>
  <c r="E3241" i="1"/>
  <c r="D3241" i="1"/>
  <c r="B3241" i="1"/>
  <c r="A3241" i="1"/>
  <c r="G3240" i="1"/>
  <c r="F3240" i="1"/>
  <c r="E3240" i="1"/>
  <c r="D3240" i="1"/>
  <c r="B3240" i="1"/>
  <c r="A3240" i="1"/>
  <c r="G3239" i="1"/>
  <c r="F3239" i="1"/>
  <c r="E3239" i="1"/>
  <c r="D3239" i="1"/>
  <c r="B3239" i="1"/>
  <c r="A3239" i="1"/>
  <c r="G3238" i="1"/>
  <c r="F3238" i="1"/>
  <c r="E3238" i="1"/>
  <c r="D3238" i="1"/>
  <c r="B3238" i="1"/>
  <c r="A3238" i="1"/>
  <c r="G3237" i="1"/>
  <c r="F3237" i="1"/>
  <c r="E3237" i="1"/>
  <c r="D3237" i="1"/>
  <c r="B3237" i="1"/>
  <c r="A3237" i="1"/>
  <c r="G3236" i="1"/>
  <c r="F3236" i="1"/>
  <c r="E3236" i="1"/>
  <c r="D3236" i="1"/>
  <c r="B3236" i="1"/>
  <c r="A3236" i="1"/>
  <c r="G3235" i="1"/>
  <c r="F3235" i="1"/>
  <c r="E3235" i="1"/>
  <c r="D3235" i="1"/>
  <c r="B3235" i="1"/>
  <c r="A3235" i="1"/>
  <c r="G3234" i="1"/>
  <c r="F3234" i="1"/>
  <c r="E3234" i="1"/>
  <c r="D3234" i="1"/>
  <c r="B3234" i="1"/>
  <c r="A3234" i="1"/>
  <c r="G3233" i="1"/>
  <c r="F3233" i="1"/>
  <c r="E3233" i="1"/>
  <c r="D3233" i="1"/>
  <c r="B3233" i="1"/>
  <c r="A3233" i="1"/>
  <c r="G3232" i="1"/>
  <c r="F3232" i="1"/>
  <c r="E3232" i="1"/>
  <c r="D3232" i="1"/>
  <c r="B3232" i="1"/>
  <c r="A3232" i="1"/>
  <c r="G3231" i="1"/>
  <c r="F3231" i="1"/>
  <c r="E3231" i="1"/>
  <c r="D3231" i="1"/>
  <c r="B3231" i="1"/>
  <c r="A3231" i="1"/>
  <c r="G3230" i="1"/>
  <c r="F3230" i="1"/>
  <c r="E3230" i="1"/>
  <c r="D3230" i="1"/>
  <c r="B3230" i="1"/>
  <c r="A3230" i="1"/>
  <c r="G3229" i="1"/>
  <c r="F3229" i="1"/>
  <c r="E3229" i="1"/>
  <c r="D3229" i="1"/>
  <c r="B3229" i="1"/>
  <c r="A3229" i="1"/>
  <c r="G3228" i="1"/>
  <c r="F3228" i="1"/>
  <c r="E3228" i="1"/>
  <c r="D3228" i="1"/>
  <c r="B3228" i="1"/>
  <c r="A3228" i="1"/>
  <c r="G3227" i="1"/>
  <c r="F3227" i="1"/>
  <c r="E3227" i="1"/>
  <c r="D3227" i="1"/>
  <c r="B3227" i="1"/>
  <c r="A3227" i="1"/>
  <c r="G3226" i="1"/>
  <c r="F3226" i="1"/>
  <c r="E3226" i="1"/>
  <c r="D3226" i="1"/>
  <c r="B3226" i="1"/>
  <c r="A3226" i="1"/>
  <c r="G3225" i="1"/>
  <c r="F3225" i="1"/>
  <c r="E3225" i="1"/>
  <c r="D3225" i="1"/>
  <c r="B3225" i="1"/>
  <c r="A3225" i="1"/>
  <c r="G3224" i="1"/>
  <c r="F3224" i="1"/>
  <c r="E3224" i="1"/>
  <c r="D3224" i="1"/>
  <c r="B3224" i="1"/>
  <c r="A3224" i="1"/>
  <c r="G3223" i="1"/>
  <c r="F3223" i="1"/>
  <c r="E3223" i="1"/>
  <c r="D3223" i="1"/>
  <c r="B3223" i="1"/>
  <c r="A3223" i="1"/>
  <c r="G3222" i="1"/>
  <c r="F3222" i="1"/>
  <c r="E3222" i="1"/>
  <c r="D3222" i="1"/>
  <c r="B3222" i="1"/>
  <c r="A3222" i="1"/>
  <c r="G3221" i="1"/>
  <c r="F3221" i="1"/>
  <c r="E3221" i="1"/>
  <c r="D3221" i="1"/>
  <c r="B3221" i="1"/>
  <c r="A3221" i="1"/>
  <c r="G3220" i="1"/>
  <c r="F3220" i="1"/>
  <c r="E3220" i="1"/>
  <c r="D3220" i="1"/>
  <c r="B3220" i="1"/>
  <c r="A3220" i="1"/>
  <c r="G3219" i="1"/>
  <c r="F3219" i="1"/>
  <c r="E3219" i="1"/>
  <c r="D3219" i="1"/>
  <c r="B3219" i="1"/>
  <c r="A3219" i="1"/>
  <c r="G3218" i="1"/>
  <c r="F3218" i="1"/>
  <c r="E3218" i="1"/>
  <c r="D3218" i="1"/>
  <c r="B3218" i="1"/>
  <c r="A3218" i="1"/>
  <c r="G3217" i="1"/>
  <c r="F3217" i="1"/>
  <c r="E3217" i="1"/>
  <c r="D3217" i="1"/>
  <c r="B3217" i="1"/>
  <c r="A3217" i="1"/>
  <c r="G3216" i="1"/>
  <c r="F3216" i="1"/>
  <c r="E3216" i="1"/>
  <c r="D3216" i="1"/>
  <c r="B3216" i="1"/>
  <c r="A3216" i="1"/>
  <c r="G3215" i="1"/>
  <c r="F3215" i="1"/>
  <c r="E3215" i="1"/>
  <c r="D3215" i="1"/>
  <c r="B3215" i="1"/>
  <c r="A3215" i="1"/>
  <c r="G3214" i="1"/>
  <c r="F3214" i="1"/>
  <c r="E3214" i="1"/>
  <c r="D3214" i="1"/>
  <c r="B3214" i="1"/>
  <c r="A3214" i="1"/>
  <c r="G3213" i="1"/>
  <c r="F3213" i="1"/>
  <c r="E3213" i="1"/>
  <c r="D3213" i="1"/>
  <c r="B3213" i="1"/>
  <c r="A3213" i="1"/>
  <c r="G3212" i="1"/>
  <c r="F3212" i="1"/>
  <c r="E3212" i="1"/>
  <c r="D3212" i="1"/>
  <c r="B3212" i="1"/>
  <c r="A3212" i="1"/>
  <c r="G3211" i="1"/>
  <c r="F3211" i="1"/>
  <c r="E3211" i="1"/>
  <c r="D3211" i="1"/>
  <c r="B3211" i="1"/>
  <c r="A3211" i="1"/>
  <c r="G3210" i="1"/>
  <c r="F3210" i="1"/>
  <c r="E3210" i="1"/>
  <c r="D3210" i="1"/>
  <c r="B3210" i="1"/>
  <c r="A3210" i="1"/>
  <c r="G3209" i="1"/>
  <c r="F3209" i="1"/>
  <c r="E3209" i="1"/>
  <c r="D3209" i="1"/>
  <c r="B3209" i="1"/>
  <c r="A3209" i="1"/>
  <c r="G3208" i="1"/>
  <c r="F3208" i="1"/>
  <c r="E3208" i="1"/>
  <c r="D3208" i="1"/>
  <c r="B3208" i="1"/>
  <c r="A3208" i="1"/>
  <c r="G3207" i="1"/>
  <c r="F3207" i="1"/>
  <c r="E3207" i="1"/>
  <c r="D3207" i="1"/>
  <c r="B3207" i="1"/>
  <c r="A3207" i="1"/>
  <c r="G3206" i="1"/>
  <c r="F3206" i="1"/>
  <c r="E3206" i="1"/>
  <c r="D3206" i="1"/>
  <c r="B3206" i="1"/>
  <c r="A3206" i="1"/>
  <c r="G3205" i="1"/>
  <c r="F3205" i="1"/>
  <c r="E3205" i="1"/>
  <c r="D3205" i="1"/>
  <c r="B3205" i="1"/>
  <c r="A3205" i="1"/>
  <c r="G3204" i="1"/>
  <c r="F3204" i="1"/>
  <c r="E3204" i="1"/>
  <c r="D3204" i="1"/>
  <c r="B3204" i="1"/>
  <c r="A3204" i="1"/>
  <c r="G3203" i="1"/>
  <c r="F3203" i="1"/>
  <c r="E3203" i="1"/>
  <c r="D3203" i="1"/>
  <c r="B3203" i="1"/>
  <c r="G3202" i="1"/>
  <c r="F3202" i="1"/>
  <c r="E3202" i="1"/>
  <c r="D3202" i="1"/>
  <c r="B3202" i="1"/>
  <c r="A3202" i="1"/>
  <c r="G3201" i="1"/>
  <c r="F3201" i="1"/>
  <c r="E3201" i="1"/>
  <c r="D3201" i="1"/>
  <c r="B3201" i="1"/>
  <c r="A3201" i="1"/>
  <c r="G3200" i="1"/>
  <c r="F3200" i="1"/>
  <c r="E3200" i="1"/>
  <c r="D3200" i="1"/>
  <c r="B3200" i="1"/>
  <c r="A3200" i="1"/>
  <c r="G3199" i="1"/>
  <c r="F3199" i="1"/>
  <c r="E3199" i="1"/>
  <c r="D3199" i="1"/>
  <c r="B3199" i="1"/>
  <c r="A3199" i="1"/>
  <c r="G3198" i="1"/>
  <c r="F3198" i="1"/>
  <c r="E3198" i="1"/>
  <c r="D3198" i="1"/>
  <c r="B3198" i="1"/>
  <c r="A3198" i="1"/>
  <c r="G3197" i="1"/>
  <c r="F3197" i="1"/>
  <c r="E3197" i="1"/>
  <c r="D3197" i="1"/>
  <c r="B3197" i="1"/>
  <c r="A3197" i="1"/>
  <c r="G3196" i="1"/>
  <c r="F3196" i="1"/>
  <c r="E3196" i="1"/>
  <c r="D3196" i="1"/>
  <c r="B3196" i="1"/>
  <c r="A3196" i="1"/>
  <c r="G3195" i="1"/>
  <c r="F3195" i="1"/>
  <c r="E3195" i="1"/>
  <c r="D3195" i="1"/>
  <c r="B3195" i="1"/>
  <c r="A3195" i="1"/>
  <c r="G3194" i="1"/>
  <c r="F3194" i="1"/>
  <c r="E3194" i="1"/>
  <c r="D3194" i="1"/>
  <c r="B3194" i="1"/>
  <c r="A3194" i="1"/>
  <c r="G3193" i="1"/>
  <c r="F3193" i="1"/>
  <c r="E3193" i="1"/>
  <c r="D3193" i="1"/>
  <c r="B3193" i="1"/>
  <c r="A3193" i="1"/>
  <c r="G3192" i="1"/>
  <c r="F3192" i="1"/>
  <c r="E3192" i="1"/>
  <c r="D3192" i="1"/>
  <c r="B3192" i="1"/>
  <c r="A3192" i="1"/>
  <c r="G3191" i="1"/>
  <c r="F3191" i="1"/>
  <c r="E3191" i="1"/>
  <c r="D3191" i="1"/>
  <c r="B3191" i="1"/>
  <c r="A3191" i="1"/>
  <c r="G3190" i="1"/>
  <c r="F3190" i="1"/>
  <c r="E3190" i="1"/>
  <c r="D3190" i="1"/>
  <c r="B3190" i="1"/>
  <c r="A3190" i="1"/>
  <c r="G3189" i="1"/>
  <c r="F3189" i="1"/>
  <c r="E3189" i="1"/>
  <c r="D3189" i="1"/>
  <c r="B3189" i="1"/>
  <c r="A3189" i="1"/>
  <c r="G3188" i="1"/>
  <c r="F3188" i="1"/>
  <c r="E3188" i="1"/>
  <c r="D3188" i="1"/>
  <c r="B3188" i="1"/>
  <c r="A3188" i="1"/>
  <c r="G3187" i="1"/>
  <c r="F3187" i="1"/>
  <c r="E3187" i="1"/>
  <c r="D3187" i="1"/>
  <c r="B3187" i="1"/>
  <c r="A3187" i="1"/>
  <c r="G3186" i="1"/>
  <c r="F3186" i="1"/>
  <c r="E3186" i="1"/>
  <c r="D3186" i="1"/>
  <c r="B3186" i="1"/>
  <c r="A3186" i="1"/>
  <c r="G3185" i="1"/>
  <c r="F3185" i="1"/>
  <c r="E3185" i="1"/>
  <c r="D3185" i="1"/>
  <c r="B3185" i="1"/>
  <c r="A3185" i="1"/>
  <c r="G3184" i="1"/>
  <c r="F3184" i="1"/>
  <c r="E3184" i="1"/>
  <c r="D3184" i="1"/>
  <c r="B3184" i="1"/>
  <c r="A3184" i="1"/>
  <c r="G3183" i="1"/>
  <c r="F3183" i="1"/>
  <c r="E3183" i="1"/>
  <c r="D3183" i="1"/>
  <c r="B3183" i="1"/>
  <c r="A3183" i="1"/>
  <c r="G3182" i="1"/>
  <c r="F3182" i="1"/>
  <c r="E3182" i="1"/>
  <c r="D3182" i="1"/>
  <c r="B3182" i="1"/>
  <c r="A3182" i="1"/>
  <c r="G3181" i="1"/>
  <c r="F3181" i="1"/>
  <c r="E3181" i="1"/>
  <c r="D3181" i="1"/>
  <c r="B3181" i="1"/>
  <c r="A3181" i="1"/>
  <c r="G3180" i="1"/>
  <c r="F3180" i="1"/>
  <c r="E3180" i="1"/>
  <c r="D3180" i="1"/>
  <c r="B3180" i="1"/>
  <c r="A3180" i="1"/>
  <c r="G3179" i="1"/>
  <c r="F3179" i="1"/>
  <c r="E3179" i="1"/>
  <c r="D3179" i="1"/>
  <c r="B3179" i="1"/>
  <c r="A3179" i="1"/>
  <c r="G3178" i="1"/>
  <c r="F3178" i="1"/>
  <c r="E3178" i="1"/>
  <c r="D3178" i="1"/>
  <c r="B3178" i="1"/>
  <c r="A3178" i="1"/>
  <c r="G3177" i="1"/>
  <c r="F3177" i="1"/>
  <c r="E3177" i="1"/>
  <c r="D3177" i="1"/>
  <c r="B3177" i="1"/>
  <c r="A3177" i="1"/>
  <c r="G3176" i="1"/>
  <c r="F3176" i="1"/>
  <c r="E3176" i="1"/>
  <c r="D3176" i="1"/>
  <c r="B3176" i="1"/>
  <c r="A3176" i="1"/>
  <c r="G3175" i="1"/>
  <c r="F3175" i="1"/>
  <c r="E3175" i="1"/>
  <c r="D3175" i="1"/>
  <c r="B3175" i="1"/>
  <c r="A3175" i="1"/>
  <c r="G3174" i="1"/>
  <c r="F3174" i="1"/>
  <c r="E3174" i="1"/>
  <c r="D3174" i="1"/>
  <c r="B3174" i="1"/>
  <c r="A3174" i="1"/>
  <c r="G3173" i="1"/>
  <c r="F3173" i="1"/>
  <c r="E3173" i="1"/>
  <c r="D3173" i="1"/>
  <c r="B3173" i="1"/>
  <c r="A3173" i="1"/>
  <c r="G3172" i="1"/>
  <c r="F3172" i="1"/>
  <c r="E3172" i="1"/>
  <c r="D3172" i="1"/>
  <c r="B3172" i="1"/>
  <c r="A3172" i="1"/>
  <c r="G3171" i="1"/>
  <c r="F3171" i="1"/>
  <c r="E3171" i="1"/>
  <c r="D3171" i="1"/>
  <c r="B3171" i="1"/>
  <c r="A3171" i="1"/>
  <c r="G3170" i="1"/>
  <c r="F3170" i="1"/>
  <c r="E3170" i="1"/>
  <c r="D3170" i="1"/>
  <c r="B3170" i="1"/>
  <c r="A3170" i="1"/>
  <c r="G3169" i="1"/>
  <c r="F3169" i="1"/>
  <c r="E3169" i="1"/>
  <c r="D3169" i="1"/>
  <c r="B3169" i="1"/>
  <c r="A3169" i="1"/>
  <c r="G3168" i="1"/>
  <c r="F3168" i="1"/>
  <c r="E3168" i="1"/>
  <c r="D3168" i="1"/>
  <c r="B3168" i="1"/>
  <c r="A3168" i="1"/>
  <c r="G3167" i="1"/>
  <c r="F3167" i="1"/>
  <c r="E3167" i="1"/>
  <c r="D3167" i="1"/>
  <c r="B3167" i="1"/>
  <c r="A3167" i="1"/>
  <c r="G3166" i="1"/>
  <c r="F3166" i="1"/>
  <c r="E3166" i="1"/>
  <c r="D3166" i="1"/>
  <c r="B3166" i="1"/>
  <c r="A3166" i="1"/>
  <c r="G3165" i="1"/>
  <c r="F3165" i="1"/>
  <c r="E3165" i="1"/>
  <c r="D3165" i="1"/>
  <c r="B3165" i="1"/>
  <c r="A3165" i="1"/>
  <c r="G3164" i="1"/>
  <c r="F3164" i="1"/>
  <c r="E3164" i="1"/>
  <c r="D3164" i="1"/>
  <c r="B3164" i="1"/>
  <c r="A3164" i="1"/>
  <c r="G3163" i="1"/>
  <c r="F3163" i="1"/>
  <c r="E3163" i="1"/>
  <c r="D3163" i="1"/>
  <c r="B3163" i="1"/>
  <c r="A3163" i="1"/>
  <c r="G3162" i="1"/>
  <c r="F3162" i="1"/>
  <c r="E3162" i="1"/>
  <c r="D3162" i="1"/>
  <c r="B3162" i="1"/>
  <c r="A3162" i="1"/>
  <c r="G3161" i="1"/>
  <c r="F3161" i="1"/>
  <c r="E3161" i="1"/>
  <c r="D3161" i="1"/>
  <c r="B3161" i="1"/>
  <c r="A3161" i="1"/>
  <c r="G3160" i="1"/>
  <c r="F3160" i="1"/>
  <c r="E3160" i="1"/>
  <c r="D3160" i="1"/>
  <c r="B3160" i="1"/>
  <c r="A3160" i="1"/>
  <c r="G3159" i="1"/>
  <c r="F3159" i="1"/>
  <c r="E3159" i="1"/>
  <c r="D3159" i="1"/>
  <c r="B3159" i="1"/>
  <c r="A3159" i="1"/>
  <c r="G3158" i="1"/>
  <c r="F3158" i="1"/>
  <c r="E3158" i="1"/>
  <c r="D3158" i="1"/>
  <c r="B3158" i="1"/>
  <c r="A3158" i="1"/>
  <c r="G3157" i="1"/>
  <c r="F3157" i="1"/>
  <c r="E3157" i="1"/>
  <c r="D3157" i="1"/>
  <c r="B3157" i="1"/>
  <c r="A3157" i="1"/>
  <c r="G3156" i="1"/>
  <c r="F3156" i="1"/>
  <c r="E3156" i="1"/>
  <c r="D3156" i="1"/>
  <c r="B3156" i="1"/>
  <c r="A3156" i="1"/>
  <c r="G3155" i="1"/>
  <c r="F3155" i="1"/>
  <c r="E3155" i="1"/>
  <c r="D3155" i="1"/>
  <c r="B3155" i="1"/>
  <c r="A3155" i="1"/>
  <c r="G3154" i="1"/>
  <c r="F3154" i="1"/>
  <c r="E3154" i="1"/>
  <c r="D3154" i="1"/>
  <c r="B3154" i="1"/>
  <c r="A3154" i="1"/>
  <c r="G3153" i="1"/>
  <c r="F3153" i="1"/>
  <c r="E3153" i="1"/>
  <c r="D3153" i="1"/>
  <c r="B3153" i="1"/>
  <c r="A3153" i="1"/>
  <c r="G3152" i="1"/>
  <c r="F3152" i="1"/>
  <c r="E3152" i="1"/>
  <c r="D3152" i="1"/>
  <c r="B3152" i="1"/>
  <c r="A3152" i="1"/>
  <c r="G3151" i="1"/>
  <c r="F3151" i="1"/>
  <c r="E3151" i="1"/>
  <c r="D3151" i="1"/>
  <c r="B3151" i="1"/>
  <c r="A3151" i="1"/>
  <c r="G3150" i="1"/>
  <c r="F3150" i="1"/>
  <c r="E3150" i="1"/>
  <c r="D3150" i="1"/>
  <c r="B3150" i="1"/>
  <c r="A3150" i="1"/>
  <c r="G3149" i="1"/>
  <c r="F3149" i="1"/>
  <c r="E3149" i="1"/>
  <c r="D3149" i="1"/>
  <c r="B3149" i="1"/>
  <c r="A3149" i="1"/>
  <c r="G3148" i="1"/>
  <c r="F3148" i="1"/>
  <c r="E3148" i="1"/>
  <c r="D3148" i="1"/>
  <c r="B3148" i="1"/>
  <c r="A3148" i="1"/>
  <c r="G3147" i="1"/>
  <c r="F3147" i="1"/>
  <c r="E3147" i="1"/>
  <c r="D3147" i="1"/>
  <c r="B3147" i="1"/>
  <c r="A3147" i="1"/>
  <c r="G3146" i="1"/>
  <c r="F3146" i="1"/>
  <c r="E3146" i="1"/>
  <c r="D3146" i="1"/>
  <c r="B3146" i="1"/>
  <c r="A3146" i="1"/>
  <c r="G3145" i="1"/>
  <c r="F3145" i="1"/>
  <c r="E3145" i="1"/>
  <c r="D3145" i="1"/>
  <c r="B3145" i="1"/>
  <c r="A3145" i="1"/>
  <c r="G3144" i="1"/>
  <c r="F3144" i="1"/>
  <c r="E3144" i="1"/>
  <c r="D3144" i="1"/>
  <c r="B3144" i="1"/>
  <c r="A3144" i="1"/>
  <c r="G3143" i="1"/>
  <c r="F3143" i="1"/>
  <c r="E3143" i="1"/>
  <c r="D3143" i="1"/>
  <c r="B3143" i="1"/>
  <c r="A3143" i="1"/>
  <c r="G3142" i="1"/>
  <c r="F3142" i="1"/>
  <c r="E3142" i="1"/>
  <c r="D3142" i="1"/>
  <c r="B3142" i="1"/>
  <c r="A3142" i="1"/>
  <c r="G3141" i="1"/>
  <c r="F3141" i="1"/>
  <c r="E3141" i="1"/>
  <c r="D3141" i="1"/>
  <c r="B3141" i="1"/>
  <c r="A3141" i="1"/>
  <c r="G3140" i="1"/>
  <c r="F3140" i="1"/>
  <c r="E3140" i="1"/>
  <c r="D3140" i="1"/>
  <c r="B3140" i="1"/>
  <c r="A3140" i="1"/>
  <c r="G3139" i="1"/>
  <c r="F3139" i="1"/>
  <c r="E3139" i="1"/>
  <c r="D3139" i="1"/>
  <c r="B3139" i="1"/>
  <c r="A3139" i="1"/>
  <c r="G3138" i="1"/>
  <c r="F3138" i="1"/>
  <c r="E3138" i="1"/>
  <c r="D3138" i="1"/>
  <c r="B3138" i="1"/>
  <c r="A3138" i="1"/>
  <c r="G3137" i="1"/>
  <c r="F3137" i="1"/>
  <c r="E3137" i="1"/>
  <c r="D3137" i="1"/>
  <c r="B3137" i="1"/>
  <c r="A3137" i="1"/>
  <c r="G3136" i="1"/>
  <c r="F3136" i="1"/>
  <c r="E3136" i="1"/>
  <c r="D3136" i="1"/>
  <c r="B3136" i="1"/>
  <c r="A3136" i="1"/>
  <c r="G3135" i="1"/>
  <c r="F3135" i="1"/>
  <c r="E3135" i="1"/>
  <c r="D3135" i="1"/>
  <c r="B3135" i="1"/>
  <c r="A3135" i="1"/>
  <c r="G3134" i="1"/>
  <c r="F3134" i="1"/>
  <c r="E3134" i="1"/>
  <c r="D3134" i="1"/>
  <c r="B3134" i="1"/>
  <c r="A3134" i="1"/>
  <c r="G3133" i="1"/>
  <c r="F3133" i="1"/>
  <c r="E3133" i="1"/>
  <c r="D3133" i="1"/>
  <c r="B3133" i="1"/>
  <c r="A3133" i="1"/>
  <c r="G3132" i="1"/>
  <c r="F3132" i="1"/>
  <c r="E3132" i="1"/>
  <c r="D3132" i="1"/>
  <c r="B3132" i="1"/>
  <c r="A3132" i="1"/>
  <c r="G3131" i="1"/>
  <c r="F3131" i="1"/>
  <c r="E3131" i="1"/>
  <c r="D3131" i="1"/>
  <c r="B3131" i="1"/>
  <c r="A3131" i="1"/>
  <c r="G3130" i="1"/>
  <c r="F3130" i="1"/>
  <c r="E3130" i="1"/>
  <c r="D3130" i="1"/>
  <c r="B3130" i="1"/>
  <c r="A3130" i="1"/>
  <c r="G3129" i="1"/>
  <c r="F3129" i="1"/>
  <c r="E3129" i="1"/>
  <c r="D3129" i="1"/>
  <c r="B3129" i="1"/>
  <c r="A3129" i="1"/>
  <c r="G3128" i="1"/>
  <c r="F3128" i="1"/>
  <c r="E3128" i="1"/>
  <c r="D3128" i="1"/>
  <c r="B3128" i="1"/>
  <c r="A3128" i="1"/>
  <c r="G3127" i="1"/>
  <c r="F3127" i="1"/>
  <c r="E3127" i="1"/>
  <c r="D3127" i="1"/>
  <c r="B3127" i="1"/>
  <c r="A3127" i="1"/>
  <c r="G3126" i="1"/>
  <c r="F3126" i="1"/>
  <c r="E3126" i="1"/>
  <c r="D3126" i="1"/>
  <c r="B3126" i="1"/>
  <c r="A3126" i="1"/>
  <c r="G3125" i="1"/>
  <c r="F3125" i="1"/>
  <c r="E3125" i="1"/>
  <c r="D3125" i="1"/>
  <c r="B3125" i="1"/>
  <c r="A3125" i="1"/>
  <c r="G3124" i="1"/>
  <c r="F3124" i="1"/>
  <c r="E3124" i="1"/>
  <c r="D3124" i="1"/>
  <c r="B3124" i="1"/>
  <c r="A3124" i="1"/>
  <c r="G3123" i="1"/>
  <c r="F3123" i="1"/>
  <c r="E3123" i="1"/>
  <c r="D3123" i="1"/>
  <c r="B3123" i="1"/>
  <c r="A3123" i="1"/>
  <c r="G3122" i="1"/>
  <c r="F3122" i="1"/>
  <c r="E3122" i="1"/>
  <c r="D3122" i="1"/>
  <c r="B3122" i="1"/>
  <c r="A3122" i="1"/>
  <c r="G3121" i="1"/>
  <c r="F3121" i="1"/>
  <c r="E3121" i="1"/>
  <c r="D3121" i="1"/>
  <c r="B3121" i="1"/>
  <c r="A3121" i="1"/>
  <c r="G3120" i="1"/>
  <c r="F3120" i="1"/>
  <c r="E3120" i="1"/>
  <c r="D3120" i="1"/>
  <c r="B3120" i="1"/>
  <c r="A3120" i="1"/>
  <c r="G3119" i="1"/>
  <c r="F3119" i="1"/>
  <c r="E3119" i="1"/>
  <c r="D3119" i="1"/>
  <c r="B3119" i="1"/>
  <c r="A3119" i="1"/>
  <c r="G3118" i="1"/>
  <c r="F3118" i="1"/>
  <c r="E3118" i="1"/>
  <c r="D3118" i="1"/>
  <c r="B3118" i="1"/>
  <c r="A3118" i="1"/>
  <c r="G3117" i="1"/>
  <c r="F3117" i="1"/>
  <c r="E3117" i="1"/>
  <c r="D3117" i="1"/>
  <c r="B3117" i="1"/>
  <c r="A3117" i="1"/>
  <c r="G3116" i="1"/>
  <c r="F3116" i="1"/>
  <c r="E3116" i="1"/>
  <c r="D3116" i="1"/>
  <c r="B3116" i="1"/>
  <c r="A3116" i="1"/>
  <c r="G3115" i="1"/>
  <c r="F3115" i="1"/>
  <c r="E3115" i="1"/>
  <c r="D3115" i="1"/>
  <c r="B3115" i="1"/>
  <c r="A3115" i="1"/>
  <c r="G3114" i="1"/>
  <c r="F3114" i="1"/>
  <c r="E3114" i="1"/>
  <c r="D3114" i="1"/>
  <c r="B3114" i="1"/>
  <c r="A3114" i="1"/>
  <c r="G3113" i="1"/>
  <c r="F3113" i="1"/>
  <c r="E3113" i="1"/>
  <c r="D3113" i="1"/>
  <c r="B3113" i="1"/>
  <c r="A3113" i="1"/>
  <c r="G3112" i="1"/>
  <c r="F3112" i="1"/>
  <c r="E3112" i="1"/>
  <c r="D3112" i="1"/>
  <c r="B3112" i="1"/>
  <c r="A3112" i="1"/>
  <c r="G3111" i="1"/>
  <c r="F3111" i="1"/>
  <c r="E3111" i="1"/>
  <c r="D3111" i="1"/>
  <c r="B3111" i="1"/>
  <c r="A3111" i="1"/>
  <c r="G3110" i="1"/>
  <c r="F3110" i="1"/>
  <c r="E3110" i="1"/>
  <c r="D3110" i="1"/>
  <c r="B3110" i="1"/>
  <c r="A3110" i="1"/>
  <c r="G3109" i="1"/>
  <c r="F3109" i="1"/>
  <c r="E3109" i="1"/>
  <c r="D3109" i="1"/>
  <c r="B3109" i="1"/>
  <c r="A3109" i="1"/>
  <c r="G3108" i="1"/>
  <c r="F3108" i="1"/>
  <c r="E3108" i="1"/>
  <c r="D3108" i="1"/>
  <c r="B3108" i="1"/>
  <c r="A3108" i="1"/>
  <c r="G3107" i="1"/>
  <c r="F3107" i="1"/>
  <c r="E3107" i="1"/>
  <c r="D3107" i="1"/>
  <c r="B3107" i="1"/>
  <c r="A3107" i="1"/>
  <c r="G3106" i="1"/>
  <c r="F3106" i="1"/>
  <c r="E3106" i="1"/>
  <c r="D3106" i="1"/>
  <c r="B3106" i="1"/>
  <c r="A3106" i="1"/>
  <c r="G3105" i="1"/>
  <c r="F3105" i="1"/>
  <c r="E3105" i="1"/>
  <c r="D3105" i="1"/>
  <c r="B3105" i="1"/>
  <c r="A3105" i="1"/>
  <c r="G3104" i="1"/>
  <c r="F3104" i="1"/>
  <c r="E3104" i="1"/>
  <c r="D3104" i="1"/>
  <c r="B3104" i="1"/>
  <c r="A3104" i="1"/>
  <c r="G3103" i="1"/>
  <c r="F3103" i="1"/>
  <c r="E3103" i="1"/>
  <c r="D3103" i="1"/>
  <c r="B3103" i="1"/>
  <c r="A3103" i="1"/>
  <c r="G3102" i="1"/>
  <c r="F3102" i="1"/>
  <c r="E3102" i="1"/>
  <c r="D3102" i="1"/>
  <c r="B3102" i="1"/>
  <c r="A3102" i="1"/>
  <c r="G3101" i="1"/>
  <c r="F3101" i="1"/>
  <c r="E3101" i="1"/>
  <c r="D3101" i="1"/>
  <c r="B3101" i="1"/>
  <c r="A3101" i="1"/>
  <c r="G3100" i="1"/>
  <c r="F3100" i="1"/>
  <c r="E3100" i="1"/>
  <c r="D3100" i="1"/>
  <c r="B3100" i="1"/>
  <c r="A3100" i="1"/>
  <c r="G3099" i="1"/>
  <c r="F3099" i="1"/>
  <c r="E3099" i="1"/>
  <c r="D3099" i="1"/>
  <c r="B3099" i="1"/>
  <c r="A3099" i="1"/>
  <c r="G3098" i="1"/>
  <c r="F3098" i="1"/>
  <c r="E3098" i="1"/>
  <c r="D3098" i="1"/>
  <c r="B3098" i="1"/>
  <c r="A3098" i="1"/>
  <c r="G3097" i="1"/>
  <c r="F3097" i="1"/>
  <c r="E3097" i="1"/>
  <c r="D3097" i="1"/>
  <c r="B3097" i="1"/>
  <c r="A3097" i="1"/>
  <c r="G3096" i="1"/>
  <c r="F3096" i="1"/>
  <c r="E3096" i="1"/>
  <c r="D3096" i="1"/>
  <c r="B3096" i="1"/>
  <c r="A3096" i="1"/>
  <c r="G3095" i="1"/>
  <c r="F3095" i="1"/>
  <c r="E3095" i="1"/>
  <c r="D3095" i="1"/>
  <c r="B3095" i="1"/>
  <c r="A3095" i="1"/>
  <c r="G3094" i="1"/>
  <c r="F3094" i="1"/>
  <c r="E3094" i="1"/>
  <c r="D3094" i="1"/>
  <c r="B3094" i="1"/>
  <c r="A3094" i="1"/>
  <c r="G3093" i="1"/>
  <c r="F3093" i="1"/>
  <c r="E3093" i="1"/>
  <c r="D3093" i="1"/>
  <c r="B3093" i="1"/>
  <c r="A3093" i="1"/>
  <c r="G3092" i="1"/>
  <c r="F3092" i="1"/>
  <c r="E3092" i="1"/>
  <c r="D3092" i="1"/>
  <c r="B3092" i="1"/>
  <c r="A3092" i="1"/>
  <c r="G3091" i="1"/>
  <c r="F3091" i="1"/>
  <c r="E3091" i="1"/>
  <c r="D3091" i="1"/>
  <c r="B3091" i="1"/>
  <c r="A3091" i="1"/>
  <c r="G3090" i="1"/>
  <c r="F3090" i="1"/>
  <c r="E3090" i="1"/>
  <c r="D3090" i="1"/>
  <c r="B3090" i="1"/>
  <c r="A3090" i="1"/>
  <c r="G3089" i="1"/>
  <c r="F3089" i="1"/>
  <c r="E3089" i="1"/>
  <c r="D3089" i="1"/>
  <c r="B3089" i="1"/>
  <c r="A3089" i="1"/>
  <c r="G3088" i="1"/>
  <c r="F3088" i="1"/>
  <c r="E3088" i="1"/>
  <c r="D3088" i="1"/>
  <c r="B3088" i="1"/>
  <c r="A3088" i="1"/>
  <c r="G3087" i="1"/>
  <c r="F3087" i="1"/>
  <c r="E3087" i="1"/>
  <c r="D3087" i="1"/>
  <c r="B3087" i="1"/>
  <c r="A3087" i="1"/>
  <c r="G3086" i="1"/>
  <c r="F3086" i="1"/>
  <c r="E3086" i="1"/>
  <c r="D3086" i="1"/>
  <c r="B3086" i="1"/>
  <c r="A3086" i="1"/>
  <c r="G3085" i="1"/>
  <c r="F3085" i="1"/>
  <c r="E3085" i="1"/>
  <c r="D3085" i="1"/>
  <c r="B3085" i="1"/>
  <c r="A3085" i="1"/>
  <c r="G3084" i="1"/>
  <c r="F3084" i="1"/>
  <c r="E3084" i="1"/>
  <c r="D3084" i="1"/>
  <c r="B3084" i="1"/>
  <c r="A3084" i="1"/>
  <c r="G3083" i="1"/>
  <c r="F3083" i="1"/>
  <c r="E3083" i="1"/>
  <c r="D3083" i="1"/>
  <c r="B3083" i="1"/>
  <c r="A3083" i="1"/>
  <c r="G3082" i="1"/>
  <c r="F3082" i="1"/>
  <c r="E3082" i="1"/>
  <c r="D3082" i="1"/>
  <c r="B3082" i="1"/>
  <c r="A3082" i="1"/>
  <c r="G3081" i="1"/>
  <c r="F3081" i="1"/>
  <c r="E3081" i="1"/>
  <c r="D3081" i="1"/>
  <c r="B3081" i="1"/>
  <c r="A3081" i="1"/>
  <c r="G3080" i="1"/>
  <c r="F3080" i="1"/>
  <c r="E3080" i="1"/>
  <c r="D3080" i="1"/>
  <c r="B3080" i="1"/>
  <c r="A3080" i="1"/>
  <c r="G3079" i="1"/>
  <c r="F3079" i="1"/>
  <c r="E3079" i="1"/>
  <c r="D3079" i="1"/>
  <c r="B3079" i="1"/>
  <c r="A3079" i="1"/>
  <c r="G3078" i="1"/>
  <c r="F3078" i="1"/>
  <c r="E3078" i="1"/>
  <c r="D3078" i="1"/>
  <c r="B3078" i="1"/>
  <c r="A3078" i="1"/>
  <c r="G3077" i="1"/>
  <c r="F3077" i="1"/>
  <c r="E3077" i="1"/>
  <c r="D3077" i="1"/>
  <c r="B3077" i="1"/>
  <c r="A3077" i="1"/>
  <c r="G3076" i="1"/>
  <c r="F3076" i="1"/>
  <c r="E3076" i="1"/>
  <c r="D3076" i="1"/>
  <c r="B3076" i="1"/>
  <c r="A3076" i="1"/>
  <c r="G3075" i="1"/>
  <c r="F3075" i="1"/>
  <c r="E3075" i="1"/>
  <c r="D3075" i="1"/>
  <c r="B3075" i="1"/>
  <c r="A3075" i="1"/>
  <c r="G3074" i="1"/>
  <c r="F3074" i="1"/>
  <c r="E3074" i="1"/>
  <c r="D3074" i="1"/>
  <c r="B3074" i="1"/>
  <c r="A3074" i="1"/>
  <c r="G3073" i="1"/>
  <c r="F3073" i="1"/>
  <c r="E3073" i="1"/>
  <c r="D3073" i="1"/>
  <c r="B3073" i="1"/>
  <c r="A3073" i="1"/>
  <c r="G3072" i="1"/>
  <c r="F3072" i="1"/>
  <c r="E3072" i="1"/>
  <c r="D3072" i="1"/>
  <c r="B3072" i="1"/>
  <c r="A3072" i="1"/>
  <c r="G3071" i="1"/>
  <c r="F3071" i="1"/>
  <c r="E3071" i="1"/>
  <c r="D3071" i="1"/>
  <c r="B3071" i="1"/>
  <c r="A3071" i="1"/>
  <c r="G3070" i="1"/>
  <c r="F3070" i="1"/>
  <c r="E3070" i="1"/>
  <c r="D3070" i="1"/>
  <c r="B3070" i="1"/>
  <c r="A3070" i="1"/>
  <c r="G3069" i="1"/>
  <c r="F3069" i="1"/>
  <c r="E3069" i="1"/>
  <c r="D3069" i="1"/>
  <c r="B3069" i="1"/>
  <c r="A3069" i="1"/>
  <c r="G3068" i="1"/>
  <c r="F3068" i="1"/>
  <c r="E3068" i="1"/>
  <c r="D3068" i="1"/>
  <c r="B3068" i="1"/>
  <c r="A3068" i="1"/>
  <c r="G3067" i="1"/>
  <c r="F3067" i="1"/>
  <c r="E3067" i="1"/>
  <c r="D3067" i="1"/>
  <c r="B3067" i="1"/>
  <c r="A3067" i="1"/>
  <c r="G3066" i="1"/>
  <c r="F3066" i="1"/>
  <c r="E3066" i="1"/>
  <c r="D3066" i="1"/>
  <c r="B3066" i="1"/>
  <c r="A3066" i="1"/>
  <c r="G3065" i="1"/>
  <c r="F3065" i="1"/>
  <c r="E3065" i="1"/>
  <c r="D3065" i="1"/>
  <c r="B3065" i="1"/>
  <c r="A3065" i="1"/>
  <c r="G3064" i="1"/>
  <c r="F3064" i="1"/>
  <c r="E3064" i="1"/>
  <c r="D3064" i="1"/>
  <c r="B3064" i="1"/>
  <c r="A3064" i="1"/>
  <c r="G3063" i="1"/>
  <c r="F3063" i="1"/>
  <c r="E3063" i="1"/>
  <c r="D3063" i="1"/>
  <c r="B3063" i="1"/>
  <c r="A3063" i="1"/>
  <c r="G3062" i="1"/>
  <c r="F3062" i="1"/>
  <c r="E3062" i="1"/>
  <c r="D3062" i="1"/>
  <c r="B3062" i="1"/>
  <c r="A3062" i="1"/>
  <c r="G3061" i="1"/>
  <c r="F3061" i="1"/>
  <c r="E3061" i="1"/>
  <c r="D3061" i="1"/>
  <c r="B3061" i="1"/>
  <c r="A3061" i="1"/>
  <c r="G3060" i="1"/>
  <c r="F3060" i="1"/>
  <c r="E3060" i="1"/>
  <c r="D3060" i="1"/>
  <c r="B3060" i="1"/>
  <c r="A3060" i="1"/>
  <c r="G3059" i="1"/>
  <c r="F3059" i="1"/>
  <c r="E3059" i="1"/>
  <c r="D3059" i="1"/>
  <c r="B3059" i="1"/>
  <c r="A3059" i="1"/>
  <c r="G3058" i="1"/>
  <c r="F3058" i="1"/>
  <c r="E3058" i="1"/>
  <c r="D3058" i="1"/>
  <c r="B3058" i="1"/>
  <c r="A3058" i="1"/>
  <c r="G3057" i="1"/>
  <c r="F3057" i="1"/>
  <c r="E3057" i="1"/>
  <c r="D3057" i="1"/>
  <c r="B3057" i="1"/>
  <c r="A3057" i="1"/>
  <c r="G3056" i="1"/>
  <c r="F3056" i="1"/>
  <c r="E3056" i="1"/>
  <c r="D3056" i="1"/>
  <c r="B3056" i="1"/>
  <c r="A3056" i="1"/>
  <c r="G3055" i="1"/>
  <c r="F3055" i="1"/>
  <c r="E3055" i="1"/>
  <c r="D3055" i="1"/>
  <c r="B3055" i="1"/>
  <c r="A3055" i="1"/>
  <c r="G3054" i="1"/>
  <c r="F3054" i="1"/>
  <c r="E3054" i="1"/>
  <c r="D3054" i="1"/>
  <c r="B3054" i="1"/>
  <c r="A3054" i="1"/>
  <c r="G3053" i="1"/>
  <c r="F3053" i="1"/>
  <c r="E3053" i="1"/>
  <c r="D3053" i="1"/>
  <c r="B3053" i="1"/>
  <c r="A3053" i="1"/>
  <c r="G3052" i="1"/>
  <c r="F3052" i="1"/>
  <c r="E3052" i="1"/>
  <c r="D3052" i="1"/>
  <c r="B3052" i="1"/>
  <c r="A3052" i="1"/>
  <c r="G3051" i="1"/>
  <c r="F3051" i="1"/>
  <c r="E3051" i="1"/>
  <c r="D3051" i="1"/>
  <c r="B3051" i="1"/>
  <c r="A3051" i="1"/>
  <c r="G3050" i="1"/>
  <c r="F3050" i="1"/>
  <c r="E3050" i="1"/>
  <c r="D3050" i="1"/>
  <c r="B3050" i="1"/>
  <c r="A3050" i="1"/>
  <c r="G3049" i="1"/>
  <c r="F3049" i="1"/>
  <c r="E3049" i="1"/>
  <c r="D3049" i="1"/>
  <c r="B3049" i="1"/>
  <c r="A3049" i="1"/>
  <c r="G3048" i="1"/>
  <c r="F3048" i="1"/>
  <c r="E3048" i="1"/>
  <c r="D3048" i="1"/>
  <c r="B3048" i="1"/>
  <c r="A3048" i="1"/>
  <c r="G3047" i="1"/>
  <c r="F3047" i="1"/>
  <c r="E3047" i="1"/>
  <c r="D3047" i="1"/>
  <c r="B3047" i="1"/>
  <c r="A3047" i="1"/>
  <c r="G3046" i="1"/>
  <c r="F3046" i="1"/>
  <c r="E3046" i="1"/>
  <c r="D3046" i="1"/>
  <c r="B3046" i="1"/>
  <c r="A3046" i="1"/>
  <c r="G3045" i="1"/>
  <c r="F3045" i="1"/>
  <c r="E3045" i="1"/>
  <c r="D3045" i="1"/>
  <c r="B3045" i="1"/>
  <c r="A3045" i="1"/>
  <c r="G3044" i="1"/>
  <c r="F3044" i="1"/>
  <c r="E3044" i="1"/>
  <c r="D3044" i="1"/>
  <c r="B3044" i="1"/>
  <c r="A3044" i="1"/>
  <c r="G3043" i="1"/>
  <c r="F3043" i="1"/>
  <c r="E3043" i="1"/>
  <c r="D3043" i="1"/>
  <c r="B3043" i="1"/>
  <c r="A3043" i="1"/>
  <c r="G3042" i="1"/>
  <c r="F3042" i="1"/>
  <c r="E3042" i="1"/>
  <c r="D3042" i="1"/>
  <c r="B3042" i="1"/>
  <c r="A3042" i="1"/>
  <c r="G3041" i="1"/>
  <c r="F3041" i="1"/>
  <c r="E3041" i="1"/>
  <c r="D3041" i="1"/>
  <c r="B3041" i="1"/>
  <c r="A3041" i="1"/>
  <c r="G3040" i="1"/>
  <c r="F3040" i="1"/>
  <c r="E3040" i="1"/>
  <c r="D3040" i="1"/>
  <c r="B3040" i="1"/>
  <c r="A3040" i="1"/>
  <c r="G3039" i="1"/>
  <c r="F3039" i="1"/>
  <c r="E3039" i="1"/>
  <c r="D3039" i="1"/>
  <c r="B3039" i="1"/>
  <c r="A3039" i="1"/>
  <c r="G3038" i="1"/>
  <c r="F3038" i="1"/>
  <c r="E3038" i="1"/>
  <c r="D3038" i="1"/>
  <c r="B3038" i="1"/>
  <c r="A3038" i="1"/>
  <c r="G3037" i="1"/>
  <c r="F3037" i="1"/>
  <c r="E3037" i="1"/>
  <c r="D3037" i="1"/>
  <c r="B3037" i="1"/>
  <c r="A3037" i="1"/>
  <c r="G3036" i="1"/>
  <c r="F3036" i="1"/>
  <c r="E3036" i="1"/>
  <c r="D3036" i="1"/>
  <c r="B3036" i="1"/>
  <c r="A3036" i="1"/>
  <c r="G3035" i="1"/>
  <c r="F3035" i="1"/>
  <c r="E3035" i="1"/>
  <c r="D3035" i="1"/>
  <c r="B3035" i="1"/>
  <c r="A3035" i="1"/>
  <c r="G3034" i="1"/>
  <c r="F3034" i="1"/>
  <c r="E3034" i="1"/>
  <c r="D3034" i="1"/>
  <c r="B3034" i="1"/>
  <c r="A3034" i="1"/>
  <c r="G3033" i="1"/>
  <c r="F3033" i="1"/>
  <c r="E3033" i="1"/>
  <c r="D3033" i="1"/>
  <c r="B3033" i="1"/>
  <c r="A3033" i="1"/>
  <c r="G3032" i="1"/>
  <c r="F3032" i="1"/>
  <c r="E3032" i="1"/>
  <c r="D3032" i="1"/>
  <c r="B3032" i="1"/>
  <c r="A3032" i="1"/>
  <c r="G3031" i="1"/>
  <c r="F3031" i="1"/>
  <c r="E3031" i="1"/>
  <c r="D3031" i="1"/>
  <c r="B3031" i="1"/>
  <c r="A3031" i="1"/>
  <c r="G3030" i="1"/>
  <c r="F3030" i="1"/>
  <c r="E3030" i="1"/>
  <c r="D3030" i="1"/>
  <c r="B3030" i="1"/>
  <c r="A3030" i="1"/>
  <c r="G3029" i="1"/>
  <c r="F3029" i="1"/>
  <c r="E3029" i="1"/>
  <c r="D3029" i="1"/>
  <c r="B3029" i="1"/>
  <c r="A3029" i="1"/>
  <c r="G3028" i="1"/>
  <c r="F3028" i="1"/>
  <c r="E3028" i="1"/>
  <c r="D3028" i="1"/>
  <c r="B3028" i="1"/>
  <c r="A3028" i="1"/>
  <c r="G3027" i="1"/>
  <c r="F3027" i="1"/>
  <c r="E3027" i="1"/>
  <c r="D3027" i="1"/>
  <c r="B3027" i="1"/>
  <c r="A3027" i="1"/>
  <c r="G3026" i="1"/>
  <c r="F3026" i="1"/>
  <c r="E3026" i="1"/>
  <c r="D3026" i="1"/>
  <c r="B3026" i="1"/>
  <c r="A3026" i="1"/>
  <c r="G3025" i="1"/>
  <c r="F3025" i="1"/>
  <c r="E3025" i="1"/>
  <c r="D3025" i="1"/>
  <c r="B3025" i="1"/>
  <c r="A3025" i="1"/>
  <c r="G3024" i="1"/>
  <c r="F3024" i="1"/>
  <c r="E3024" i="1"/>
  <c r="D3024" i="1"/>
  <c r="B3024" i="1"/>
  <c r="A3024" i="1"/>
  <c r="G3023" i="1"/>
  <c r="F3023" i="1"/>
  <c r="E3023" i="1"/>
  <c r="D3023" i="1"/>
  <c r="B3023" i="1"/>
  <c r="A3023" i="1"/>
  <c r="G3022" i="1"/>
  <c r="F3022" i="1"/>
  <c r="E3022" i="1"/>
  <c r="D3022" i="1"/>
  <c r="B3022" i="1"/>
  <c r="A3022" i="1"/>
  <c r="G3021" i="1"/>
  <c r="F3021" i="1"/>
  <c r="E3021" i="1"/>
  <c r="D3021" i="1"/>
  <c r="B3021" i="1"/>
  <c r="A3021" i="1"/>
  <c r="G3020" i="1"/>
  <c r="F3020" i="1"/>
  <c r="E3020" i="1"/>
  <c r="D3020" i="1"/>
  <c r="B3020" i="1"/>
  <c r="A3020" i="1"/>
  <c r="G3019" i="1"/>
  <c r="F3019" i="1"/>
  <c r="E3019" i="1"/>
  <c r="D3019" i="1"/>
  <c r="B3019" i="1"/>
  <c r="A3019" i="1"/>
  <c r="G3018" i="1"/>
  <c r="F3018" i="1"/>
  <c r="E3018" i="1"/>
  <c r="D3018" i="1"/>
  <c r="B3018" i="1"/>
  <c r="A3018" i="1"/>
  <c r="G3017" i="1"/>
  <c r="F3017" i="1"/>
  <c r="E3017" i="1"/>
  <c r="D3017" i="1"/>
  <c r="B3017" i="1"/>
  <c r="A3017" i="1"/>
  <c r="G3016" i="1"/>
  <c r="F3016" i="1"/>
  <c r="E3016" i="1"/>
  <c r="D3016" i="1"/>
  <c r="B3016" i="1"/>
  <c r="A3016" i="1"/>
  <c r="G3015" i="1"/>
  <c r="F3015" i="1"/>
  <c r="E3015" i="1"/>
  <c r="D3015" i="1"/>
  <c r="B3015" i="1"/>
  <c r="A3015" i="1"/>
  <c r="G3014" i="1"/>
  <c r="F3014" i="1"/>
  <c r="E3014" i="1"/>
  <c r="D3014" i="1"/>
  <c r="B3014" i="1"/>
  <c r="A3014" i="1"/>
  <c r="G3013" i="1"/>
  <c r="F3013" i="1"/>
  <c r="E3013" i="1"/>
  <c r="D3013" i="1"/>
  <c r="B3013" i="1"/>
  <c r="A3013" i="1"/>
  <c r="G3012" i="1"/>
  <c r="F3012" i="1"/>
  <c r="E3012" i="1"/>
  <c r="D3012" i="1"/>
  <c r="B3012" i="1"/>
  <c r="A3012" i="1"/>
  <c r="G3011" i="1"/>
  <c r="F3011" i="1"/>
  <c r="E3011" i="1"/>
  <c r="D3011" i="1"/>
  <c r="B3011" i="1"/>
  <c r="A3011" i="1"/>
  <c r="G3010" i="1"/>
  <c r="F3010" i="1"/>
  <c r="E3010" i="1"/>
  <c r="D3010" i="1"/>
  <c r="B3010" i="1"/>
  <c r="A3010" i="1"/>
  <c r="G3009" i="1"/>
  <c r="F3009" i="1"/>
  <c r="E3009" i="1"/>
  <c r="D3009" i="1"/>
  <c r="B3009" i="1"/>
  <c r="A3009" i="1"/>
  <c r="G3008" i="1"/>
  <c r="F3008" i="1"/>
  <c r="E3008" i="1"/>
  <c r="D3008" i="1"/>
  <c r="B3008" i="1"/>
  <c r="A3008" i="1"/>
  <c r="G3007" i="1"/>
  <c r="F3007" i="1"/>
  <c r="E3007" i="1"/>
  <c r="D3007" i="1"/>
  <c r="B3007" i="1"/>
  <c r="A3007" i="1"/>
  <c r="G3006" i="1"/>
  <c r="F3006" i="1"/>
  <c r="E3006" i="1"/>
  <c r="D3006" i="1"/>
  <c r="B3006" i="1"/>
  <c r="A3006" i="1"/>
  <c r="G3005" i="1"/>
  <c r="F3005" i="1"/>
  <c r="E3005" i="1"/>
  <c r="D3005" i="1"/>
  <c r="B3005" i="1"/>
  <c r="A3005" i="1"/>
  <c r="G3004" i="1"/>
  <c r="F3004" i="1"/>
  <c r="E3004" i="1"/>
  <c r="D3004" i="1"/>
  <c r="B3004" i="1"/>
  <c r="A3004" i="1"/>
  <c r="G3003" i="1"/>
  <c r="F3003" i="1"/>
  <c r="E3003" i="1"/>
  <c r="D3003" i="1"/>
  <c r="B3003" i="1"/>
  <c r="A3003" i="1"/>
  <c r="G3002" i="1"/>
  <c r="F3002" i="1"/>
  <c r="E3002" i="1"/>
  <c r="D3002" i="1"/>
  <c r="B3002" i="1"/>
  <c r="A3002" i="1"/>
  <c r="G3001" i="1"/>
  <c r="F3001" i="1"/>
  <c r="E3001" i="1"/>
  <c r="D3001" i="1"/>
  <c r="B3001" i="1"/>
  <c r="A3001" i="1"/>
  <c r="G3000" i="1"/>
  <c r="F3000" i="1"/>
  <c r="E3000" i="1"/>
  <c r="D3000" i="1"/>
  <c r="B3000" i="1"/>
  <c r="A3000" i="1"/>
  <c r="G2999" i="1"/>
  <c r="F2999" i="1"/>
  <c r="E2999" i="1"/>
  <c r="D2999" i="1"/>
  <c r="B2999" i="1"/>
  <c r="A2999" i="1"/>
  <c r="G2998" i="1"/>
  <c r="F2998" i="1"/>
  <c r="E2998" i="1"/>
  <c r="D2998" i="1"/>
  <c r="B2998" i="1"/>
  <c r="A2998" i="1"/>
  <c r="G2997" i="1"/>
  <c r="F2997" i="1"/>
  <c r="E2997" i="1"/>
  <c r="D2997" i="1"/>
  <c r="B2997" i="1"/>
  <c r="A2997" i="1"/>
  <c r="G2996" i="1"/>
  <c r="F2996" i="1"/>
  <c r="E2996" i="1"/>
  <c r="D2996" i="1"/>
  <c r="B2996" i="1"/>
  <c r="A2996" i="1"/>
  <c r="G2995" i="1"/>
  <c r="F2995" i="1"/>
  <c r="E2995" i="1"/>
  <c r="D2995" i="1"/>
  <c r="B2995" i="1"/>
  <c r="A2995" i="1"/>
  <c r="G2994" i="1"/>
  <c r="F2994" i="1"/>
  <c r="E2994" i="1"/>
  <c r="D2994" i="1"/>
  <c r="B2994" i="1"/>
  <c r="A2994" i="1"/>
  <c r="G2993" i="1"/>
  <c r="F2993" i="1"/>
  <c r="E2993" i="1"/>
  <c r="D2993" i="1"/>
  <c r="B2993" i="1"/>
  <c r="A2993" i="1"/>
  <c r="G2992" i="1"/>
  <c r="F2992" i="1"/>
  <c r="E2992" i="1"/>
  <c r="D2992" i="1"/>
  <c r="B2992" i="1"/>
  <c r="A2992" i="1"/>
  <c r="G2991" i="1"/>
  <c r="F2991" i="1"/>
  <c r="E2991" i="1"/>
  <c r="D2991" i="1"/>
  <c r="B2991" i="1"/>
  <c r="A2991" i="1"/>
  <c r="G2990" i="1"/>
  <c r="F2990" i="1"/>
  <c r="E2990" i="1"/>
  <c r="D2990" i="1"/>
  <c r="B2990" i="1"/>
  <c r="A2990" i="1"/>
  <c r="G2989" i="1"/>
  <c r="F2989" i="1"/>
  <c r="E2989" i="1"/>
  <c r="D2989" i="1"/>
  <c r="B2989" i="1"/>
  <c r="A2989" i="1"/>
  <c r="G2988" i="1"/>
  <c r="F2988" i="1"/>
  <c r="E2988" i="1"/>
  <c r="D2988" i="1"/>
  <c r="B2988" i="1"/>
  <c r="A2988" i="1"/>
  <c r="G2987" i="1"/>
  <c r="F2987" i="1"/>
  <c r="E2987" i="1"/>
  <c r="D2987" i="1"/>
  <c r="B2987" i="1"/>
  <c r="A2987" i="1"/>
  <c r="G2986" i="1"/>
  <c r="F2986" i="1"/>
  <c r="E2986" i="1"/>
  <c r="D2986" i="1"/>
  <c r="B2986" i="1"/>
  <c r="A2986" i="1"/>
  <c r="G2985" i="1"/>
  <c r="F2985" i="1"/>
  <c r="E2985" i="1"/>
  <c r="D2985" i="1"/>
  <c r="B2985" i="1"/>
  <c r="A2985" i="1"/>
  <c r="G2984" i="1"/>
  <c r="F2984" i="1"/>
  <c r="E2984" i="1"/>
  <c r="D2984" i="1"/>
  <c r="B2984" i="1"/>
  <c r="A2984" i="1"/>
  <c r="G2983" i="1"/>
  <c r="F2983" i="1"/>
  <c r="E2983" i="1"/>
  <c r="D2983" i="1"/>
  <c r="B2983" i="1"/>
  <c r="A2983" i="1"/>
  <c r="G2982" i="1"/>
  <c r="F2982" i="1"/>
  <c r="E2982" i="1"/>
  <c r="D2982" i="1"/>
  <c r="B2982" i="1"/>
  <c r="A2982" i="1"/>
  <c r="G2981" i="1"/>
  <c r="F2981" i="1"/>
  <c r="E2981" i="1"/>
  <c r="D2981" i="1"/>
  <c r="B2981" i="1"/>
  <c r="A2981" i="1"/>
  <c r="G2980" i="1"/>
  <c r="F2980" i="1"/>
  <c r="E2980" i="1"/>
  <c r="D2980" i="1"/>
  <c r="B2980" i="1"/>
  <c r="A2980" i="1"/>
  <c r="G2979" i="1"/>
  <c r="F2979" i="1"/>
  <c r="E2979" i="1"/>
  <c r="D2979" i="1"/>
  <c r="B2979" i="1"/>
  <c r="A2979" i="1"/>
  <c r="G2978" i="1"/>
  <c r="F2978" i="1"/>
  <c r="E2978" i="1"/>
  <c r="D2978" i="1"/>
  <c r="B2978" i="1"/>
  <c r="A2978" i="1"/>
  <c r="G2977" i="1"/>
  <c r="F2977" i="1"/>
  <c r="E2977" i="1"/>
  <c r="D2977" i="1"/>
  <c r="B2977" i="1"/>
  <c r="A2977" i="1"/>
  <c r="G2976" i="1"/>
  <c r="F2976" i="1"/>
  <c r="E2976" i="1"/>
  <c r="D2976" i="1"/>
  <c r="B2976" i="1"/>
  <c r="A2976" i="1"/>
  <c r="G2975" i="1"/>
  <c r="F2975" i="1"/>
  <c r="E2975" i="1"/>
  <c r="D2975" i="1"/>
  <c r="B2975" i="1"/>
  <c r="A2975" i="1"/>
  <c r="G2974" i="1"/>
  <c r="F2974" i="1"/>
  <c r="E2974" i="1"/>
  <c r="D2974" i="1"/>
  <c r="B2974" i="1"/>
  <c r="A2974" i="1"/>
  <c r="G2973" i="1"/>
  <c r="F2973" i="1"/>
  <c r="E2973" i="1"/>
  <c r="D2973" i="1"/>
  <c r="B2973" i="1"/>
  <c r="A2973" i="1"/>
  <c r="G2972" i="1"/>
  <c r="F2972" i="1"/>
  <c r="E2972" i="1"/>
  <c r="D2972" i="1"/>
  <c r="B2972" i="1"/>
  <c r="A2972" i="1"/>
  <c r="G2971" i="1"/>
  <c r="F2971" i="1"/>
  <c r="E2971" i="1"/>
  <c r="D2971" i="1"/>
  <c r="B2971" i="1"/>
  <c r="A2971" i="1"/>
  <c r="G2970" i="1"/>
  <c r="F2970" i="1"/>
  <c r="E2970" i="1"/>
  <c r="D2970" i="1"/>
  <c r="B2970" i="1"/>
  <c r="A2970" i="1"/>
  <c r="G2969" i="1"/>
  <c r="F2969" i="1"/>
  <c r="E2969" i="1"/>
  <c r="D2969" i="1"/>
  <c r="B2969" i="1"/>
  <c r="A2969" i="1"/>
  <c r="G2968" i="1"/>
  <c r="F2968" i="1"/>
  <c r="E2968" i="1"/>
  <c r="D2968" i="1"/>
  <c r="B2968" i="1"/>
  <c r="A2968" i="1"/>
  <c r="G2967" i="1"/>
  <c r="F2967" i="1"/>
  <c r="E2967" i="1"/>
  <c r="D2967" i="1"/>
  <c r="B2967" i="1"/>
  <c r="A2967" i="1"/>
  <c r="G2966" i="1"/>
  <c r="F2966" i="1"/>
  <c r="E2966" i="1"/>
  <c r="D2966" i="1"/>
  <c r="B2966" i="1"/>
  <c r="A2966" i="1"/>
  <c r="G2965" i="1"/>
  <c r="F2965" i="1"/>
  <c r="E2965" i="1"/>
  <c r="D2965" i="1"/>
  <c r="B2965" i="1"/>
  <c r="A2965" i="1"/>
  <c r="G2964" i="1"/>
  <c r="F2964" i="1"/>
  <c r="E2964" i="1"/>
  <c r="D2964" i="1"/>
  <c r="B2964" i="1"/>
  <c r="A2964" i="1"/>
  <c r="G2963" i="1"/>
  <c r="F2963" i="1"/>
  <c r="E2963" i="1"/>
  <c r="D2963" i="1"/>
  <c r="B2963" i="1"/>
  <c r="A2963" i="1"/>
  <c r="G2962" i="1"/>
  <c r="F2962" i="1"/>
  <c r="E2962" i="1"/>
  <c r="D2962" i="1"/>
  <c r="B2962" i="1"/>
  <c r="A2962" i="1"/>
  <c r="G2961" i="1"/>
  <c r="F2961" i="1"/>
  <c r="E2961" i="1"/>
  <c r="D2961" i="1"/>
  <c r="B2961" i="1"/>
  <c r="A2961" i="1"/>
  <c r="G2960" i="1"/>
  <c r="F2960" i="1"/>
  <c r="E2960" i="1"/>
  <c r="D2960" i="1"/>
  <c r="B2960" i="1"/>
  <c r="A2960" i="1"/>
  <c r="G2959" i="1"/>
  <c r="F2959" i="1"/>
  <c r="E2959" i="1"/>
  <c r="D2959" i="1"/>
  <c r="B2959" i="1"/>
  <c r="A2959" i="1"/>
  <c r="G2958" i="1"/>
  <c r="F2958" i="1"/>
  <c r="E2958" i="1"/>
  <c r="D2958" i="1"/>
  <c r="B2958" i="1"/>
  <c r="A2958" i="1"/>
  <c r="G2957" i="1"/>
  <c r="F2957" i="1"/>
  <c r="E2957" i="1"/>
  <c r="D2957" i="1"/>
  <c r="B2957" i="1"/>
  <c r="A2957" i="1"/>
  <c r="G2956" i="1"/>
  <c r="F2956" i="1"/>
  <c r="E2956" i="1"/>
  <c r="D2956" i="1"/>
  <c r="B2956" i="1"/>
  <c r="A2956" i="1"/>
  <c r="G2955" i="1"/>
  <c r="F2955" i="1"/>
  <c r="E2955" i="1"/>
  <c r="D2955" i="1"/>
  <c r="B2955" i="1"/>
  <c r="A2955" i="1"/>
  <c r="G2954" i="1"/>
  <c r="F2954" i="1"/>
  <c r="E2954" i="1"/>
  <c r="D2954" i="1"/>
  <c r="B2954" i="1"/>
  <c r="A2954" i="1"/>
  <c r="G2953" i="1"/>
  <c r="F2953" i="1"/>
  <c r="E2953" i="1"/>
  <c r="D2953" i="1"/>
  <c r="B2953" i="1"/>
  <c r="A2953" i="1"/>
  <c r="G2952" i="1"/>
  <c r="F2952" i="1"/>
  <c r="E2952" i="1"/>
  <c r="D2952" i="1"/>
  <c r="B2952" i="1"/>
  <c r="A2952" i="1"/>
  <c r="G2951" i="1"/>
  <c r="F2951" i="1"/>
  <c r="E2951" i="1"/>
  <c r="D2951" i="1"/>
  <c r="B2951" i="1"/>
  <c r="A2951" i="1"/>
  <c r="G2950" i="1"/>
  <c r="F2950" i="1"/>
  <c r="E2950" i="1"/>
  <c r="D2950" i="1"/>
  <c r="B2950" i="1"/>
  <c r="A2950" i="1"/>
  <c r="G2949" i="1"/>
  <c r="F2949" i="1"/>
  <c r="E2949" i="1"/>
  <c r="D2949" i="1"/>
  <c r="B2949" i="1"/>
  <c r="A2949" i="1"/>
  <c r="G2948" i="1"/>
  <c r="F2948" i="1"/>
  <c r="E2948" i="1"/>
  <c r="D2948" i="1"/>
  <c r="B2948" i="1"/>
  <c r="A2948" i="1"/>
  <c r="G2947" i="1"/>
  <c r="F2947" i="1"/>
  <c r="E2947" i="1"/>
  <c r="D2947" i="1"/>
  <c r="B2947" i="1"/>
  <c r="A2947" i="1"/>
  <c r="G2946" i="1"/>
  <c r="F2946" i="1"/>
  <c r="E2946" i="1"/>
  <c r="D2946" i="1"/>
  <c r="B2946" i="1"/>
  <c r="A2946" i="1"/>
  <c r="G2945" i="1"/>
  <c r="F2945" i="1"/>
  <c r="E2945" i="1"/>
  <c r="D2945" i="1"/>
  <c r="B2945" i="1"/>
  <c r="A2945" i="1"/>
  <c r="G2944" i="1"/>
  <c r="F2944" i="1"/>
  <c r="E2944" i="1"/>
  <c r="D2944" i="1"/>
  <c r="B2944" i="1"/>
  <c r="A2944" i="1"/>
  <c r="G2943" i="1"/>
  <c r="F2943" i="1"/>
  <c r="E2943" i="1"/>
  <c r="D2943" i="1"/>
  <c r="B2943" i="1"/>
  <c r="A2943" i="1"/>
  <c r="G2942" i="1"/>
  <c r="F2942" i="1"/>
  <c r="E2942" i="1"/>
  <c r="D2942" i="1"/>
  <c r="B2942" i="1"/>
  <c r="A2942" i="1"/>
  <c r="G2941" i="1"/>
  <c r="F2941" i="1"/>
  <c r="E2941" i="1"/>
  <c r="D2941" i="1"/>
  <c r="B2941" i="1"/>
  <c r="A2941" i="1"/>
  <c r="G2940" i="1"/>
  <c r="F2940" i="1"/>
  <c r="E2940" i="1"/>
  <c r="D2940" i="1"/>
  <c r="B2940" i="1"/>
  <c r="A2940" i="1"/>
  <c r="G2939" i="1"/>
  <c r="F2939" i="1"/>
  <c r="E2939" i="1"/>
  <c r="D2939" i="1"/>
  <c r="B2939" i="1"/>
  <c r="A2939" i="1"/>
  <c r="G2938" i="1"/>
  <c r="F2938" i="1"/>
  <c r="E2938" i="1"/>
  <c r="D2938" i="1"/>
  <c r="B2938" i="1"/>
  <c r="A2938" i="1"/>
  <c r="G2937" i="1"/>
  <c r="F2937" i="1"/>
  <c r="E2937" i="1"/>
  <c r="D2937" i="1"/>
  <c r="B2937" i="1"/>
  <c r="A2937" i="1"/>
  <c r="G2936" i="1"/>
  <c r="F2936" i="1"/>
  <c r="E2936" i="1"/>
  <c r="D2936" i="1"/>
  <c r="B2936" i="1"/>
  <c r="A2936" i="1"/>
  <c r="G2935" i="1"/>
  <c r="F2935" i="1"/>
  <c r="E2935" i="1"/>
  <c r="D2935" i="1"/>
  <c r="B2935" i="1"/>
  <c r="A2935" i="1"/>
  <c r="G2934" i="1"/>
  <c r="F2934" i="1"/>
  <c r="E2934" i="1"/>
  <c r="D2934" i="1"/>
  <c r="B2934" i="1"/>
  <c r="A2934" i="1"/>
  <c r="G2933" i="1"/>
  <c r="F2933" i="1"/>
  <c r="E2933" i="1"/>
  <c r="D2933" i="1"/>
  <c r="B2933" i="1"/>
  <c r="A2933" i="1"/>
  <c r="G2932" i="1"/>
  <c r="F2932" i="1"/>
  <c r="E2932" i="1"/>
  <c r="D2932" i="1"/>
  <c r="B2932" i="1"/>
  <c r="A2932" i="1"/>
  <c r="G2931" i="1"/>
  <c r="F2931" i="1"/>
  <c r="E2931" i="1"/>
  <c r="D2931" i="1"/>
  <c r="B2931" i="1"/>
  <c r="A2931" i="1"/>
  <c r="G2930" i="1"/>
  <c r="F2930" i="1"/>
  <c r="E2930" i="1"/>
  <c r="D2930" i="1"/>
  <c r="B2930" i="1"/>
  <c r="A2930" i="1"/>
  <c r="G2929" i="1"/>
  <c r="F2929" i="1"/>
  <c r="E2929" i="1"/>
  <c r="D2929" i="1"/>
  <c r="B2929" i="1"/>
  <c r="A2929" i="1"/>
  <c r="G2928" i="1"/>
  <c r="F2928" i="1"/>
  <c r="E2928" i="1"/>
  <c r="D2928" i="1"/>
  <c r="B2928" i="1"/>
  <c r="A2928" i="1"/>
  <c r="G2927" i="1"/>
  <c r="F2927" i="1"/>
  <c r="E2927" i="1"/>
  <c r="D2927" i="1"/>
  <c r="B2927" i="1"/>
  <c r="A2927" i="1"/>
  <c r="G2926" i="1"/>
  <c r="F2926" i="1"/>
  <c r="E2926" i="1"/>
  <c r="D2926" i="1"/>
  <c r="B2926" i="1"/>
  <c r="A2926" i="1"/>
  <c r="G2925" i="1"/>
  <c r="F2925" i="1"/>
  <c r="E2925" i="1"/>
  <c r="D2925" i="1"/>
  <c r="B2925" i="1"/>
  <c r="A2925" i="1"/>
  <c r="G2924" i="1"/>
  <c r="F2924" i="1"/>
  <c r="E2924" i="1"/>
  <c r="D2924" i="1"/>
  <c r="B2924" i="1"/>
  <c r="A2924" i="1"/>
  <c r="G2923" i="1"/>
  <c r="F2923" i="1"/>
  <c r="E2923" i="1"/>
  <c r="D2923" i="1"/>
  <c r="B2923" i="1"/>
  <c r="A2923" i="1"/>
  <c r="G2922" i="1"/>
  <c r="F2922" i="1"/>
  <c r="E2922" i="1"/>
  <c r="D2922" i="1"/>
  <c r="B2922" i="1"/>
  <c r="A2922" i="1"/>
  <c r="G2921" i="1"/>
  <c r="F2921" i="1"/>
  <c r="E2921" i="1"/>
  <c r="D2921" i="1"/>
  <c r="B2921" i="1"/>
  <c r="A2921" i="1"/>
  <c r="G2920" i="1"/>
  <c r="F2920" i="1"/>
  <c r="E2920" i="1"/>
  <c r="D2920" i="1"/>
  <c r="B2920" i="1"/>
  <c r="A2920" i="1"/>
  <c r="G2919" i="1"/>
  <c r="F2919" i="1"/>
  <c r="E2919" i="1"/>
  <c r="D2919" i="1"/>
  <c r="B2919" i="1"/>
  <c r="A2919" i="1"/>
  <c r="G2918" i="1"/>
  <c r="F2918" i="1"/>
  <c r="E2918" i="1"/>
  <c r="D2918" i="1"/>
  <c r="B2918" i="1"/>
  <c r="A2918" i="1"/>
  <c r="G2917" i="1"/>
  <c r="F2917" i="1"/>
  <c r="E2917" i="1"/>
  <c r="D2917" i="1"/>
  <c r="B2917" i="1"/>
  <c r="A2917" i="1"/>
  <c r="G2916" i="1"/>
  <c r="F2916" i="1"/>
  <c r="E2916" i="1"/>
  <c r="D2916" i="1"/>
  <c r="B2916" i="1"/>
  <c r="A2916" i="1"/>
  <c r="G2915" i="1"/>
  <c r="F2915" i="1"/>
  <c r="E2915" i="1"/>
  <c r="D2915" i="1"/>
  <c r="B2915" i="1"/>
  <c r="A2915" i="1"/>
  <c r="G2914" i="1"/>
  <c r="F2914" i="1"/>
  <c r="E2914" i="1"/>
  <c r="D2914" i="1"/>
  <c r="B2914" i="1"/>
  <c r="A2914" i="1"/>
  <c r="G2913" i="1"/>
  <c r="F2913" i="1"/>
  <c r="E2913" i="1"/>
  <c r="D2913" i="1"/>
  <c r="B2913" i="1"/>
  <c r="A2913" i="1"/>
  <c r="G2912" i="1"/>
  <c r="F2912" i="1"/>
  <c r="E2912" i="1"/>
  <c r="D2912" i="1"/>
  <c r="B2912" i="1"/>
  <c r="A2912" i="1"/>
  <c r="G2911" i="1"/>
  <c r="F2911" i="1"/>
  <c r="E2911" i="1"/>
  <c r="D2911" i="1"/>
  <c r="B2911" i="1"/>
  <c r="A2911" i="1"/>
  <c r="G2910" i="1"/>
  <c r="F2910" i="1"/>
  <c r="E2910" i="1"/>
  <c r="D2910" i="1"/>
  <c r="B2910" i="1"/>
  <c r="A2910" i="1"/>
  <c r="G2909" i="1"/>
  <c r="F2909" i="1"/>
  <c r="E2909" i="1"/>
  <c r="D2909" i="1"/>
  <c r="B2909" i="1"/>
  <c r="A2909" i="1"/>
  <c r="G2908" i="1"/>
  <c r="F2908" i="1"/>
  <c r="E2908" i="1"/>
  <c r="D2908" i="1"/>
  <c r="B2908" i="1"/>
  <c r="A2908" i="1"/>
  <c r="G2907" i="1"/>
  <c r="F2907" i="1"/>
  <c r="E2907" i="1"/>
  <c r="D2907" i="1"/>
  <c r="B2907" i="1"/>
  <c r="A2907" i="1"/>
  <c r="G2906" i="1"/>
  <c r="F2906" i="1"/>
  <c r="E2906" i="1"/>
  <c r="D2906" i="1"/>
  <c r="B2906" i="1"/>
  <c r="A2906" i="1"/>
  <c r="G2905" i="1"/>
  <c r="F2905" i="1"/>
  <c r="E2905" i="1"/>
  <c r="D2905" i="1"/>
  <c r="B2905" i="1"/>
  <c r="A2905" i="1"/>
  <c r="G2904" i="1"/>
  <c r="F2904" i="1"/>
  <c r="E2904" i="1"/>
  <c r="D2904" i="1"/>
  <c r="B2904" i="1"/>
  <c r="A2904" i="1"/>
  <c r="G2903" i="1"/>
  <c r="F2903" i="1"/>
  <c r="E2903" i="1"/>
  <c r="D2903" i="1"/>
  <c r="B2903" i="1"/>
  <c r="A2903" i="1"/>
  <c r="G2902" i="1"/>
  <c r="F2902" i="1"/>
  <c r="E2902" i="1"/>
  <c r="D2902" i="1"/>
  <c r="B2902" i="1"/>
  <c r="A2902" i="1"/>
  <c r="G2901" i="1"/>
  <c r="F2901" i="1"/>
  <c r="E2901" i="1"/>
  <c r="D2901" i="1"/>
  <c r="B2901" i="1"/>
  <c r="A2901" i="1"/>
  <c r="G2900" i="1"/>
  <c r="F2900" i="1"/>
  <c r="E2900" i="1"/>
  <c r="D2900" i="1"/>
  <c r="B2900" i="1"/>
  <c r="A2900" i="1"/>
  <c r="G2899" i="1"/>
  <c r="F2899" i="1"/>
  <c r="E2899" i="1"/>
  <c r="D2899" i="1"/>
  <c r="B2899" i="1"/>
  <c r="A2899" i="1"/>
  <c r="G2898" i="1"/>
  <c r="F2898" i="1"/>
  <c r="E2898" i="1"/>
  <c r="D2898" i="1"/>
  <c r="B2898" i="1"/>
  <c r="A2898" i="1"/>
  <c r="G2897" i="1"/>
  <c r="F2897" i="1"/>
  <c r="E2897" i="1"/>
  <c r="D2897" i="1"/>
  <c r="B2897" i="1"/>
  <c r="A2897" i="1"/>
  <c r="G2896" i="1"/>
  <c r="F2896" i="1"/>
  <c r="E2896" i="1"/>
  <c r="D2896" i="1"/>
  <c r="B2896" i="1"/>
  <c r="A2896" i="1"/>
  <c r="G2895" i="1"/>
  <c r="F2895" i="1"/>
  <c r="E2895" i="1"/>
  <c r="D2895" i="1"/>
  <c r="B2895" i="1"/>
  <c r="A2895" i="1"/>
  <c r="G2894" i="1"/>
  <c r="F2894" i="1"/>
  <c r="E2894" i="1"/>
  <c r="D2894" i="1"/>
  <c r="B2894" i="1"/>
  <c r="A2894" i="1"/>
  <c r="G2893" i="1"/>
  <c r="F2893" i="1"/>
  <c r="E2893" i="1"/>
  <c r="D2893" i="1"/>
  <c r="B2893" i="1"/>
  <c r="A2893" i="1"/>
  <c r="G2892" i="1"/>
  <c r="F2892" i="1"/>
  <c r="E2892" i="1"/>
  <c r="D2892" i="1"/>
  <c r="B2892" i="1"/>
  <c r="A2892" i="1"/>
  <c r="G2891" i="1"/>
  <c r="F2891" i="1"/>
  <c r="E2891" i="1"/>
  <c r="D2891" i="1"/>
  <c r="B2891" i="1"/>
  <c r="A2891" i="1"/>
  <c r="G2890" i="1"/>
  <c r="F2890" i="1"/>
  <c r="E2890" i="1"/>
  <c r="D2890" i="1"/>
  <c r="B2890" i="1"/>
  <c r="A2890" i="1"/>
  <c r="G2889" i="1"/>
  <c r="F2889" i="1"/>
  <c r="E2889" i="1"/>
  <c r="D2889" i="1"/>
  <c r="B2889" i="1"/>
  <c r="A2889" i="1"/>
  <c r="G2888" i="1"/>
  <c r="F2888" i="1"/>
  <c r="E2888" i="1"/>
  <c r="D2888" i="1"/>
  <c r="B2888" i="1"/>
  <c r="A2888" i="1"/>
  <c r="G2887" i="1"/>
  <c r="F2887" i="1"/>
  <c r="E2887" i="1"/>
  <c r="D2887" i="1"/>
  <c r="B2887" i="1"/>
  <c r="A2887" i="1"/>
  <c r="G2886" i="1"/>
  <c r="F2886" i="1"/>
  <c r="E2886" i="1"/>
  <c r="D2886" i="1"/>
  <c r="B2886" i="1"/>
  <c r="A2886" i="1"/>
  <c r="G2885" i="1"/>
  <c r="F2885" i="1"/>
  <c r="E2885" i="1"/>
  <c r="D2885" i="1"/>
  <c r="B2885" i="1"/>
  <c r="A2885" i="1"/>
  <c r="G2884" i="1"/>
  <c r="F2884" i="1"/>
  <c r="E2884" i="1"/>
  <c r="D2884" i="1"/>
  <c r="B2884" i="1"/>
  <c r="A2884" i="1"/>
  <c r="G2883" i="1"/>
  <c r="F2883" i="1"/>
  <c r="E2883" i="1"/>
  <c r="D2883" i="1"/>
  <c r="B2883" i="1"/>
  <c r="A2883" i="1"/>
  <c r="G2882" i="1"/>
  <c r="F2882" i="1"/>
  <c r="E2882" i="1"/>
  <c r="D2882" i="1"/>
  <c r="B2882" i="1"/>
  <c r="A2882" i="1"/>
  <c r="G2881" i="1"/>
  <c r="F2881" i="1"/>
  <c r="E2881" i="1"/>
  <c r="D2881" i="1"/>
  <c r="B2881" i="1"/>
  <c r="A2881" i="1"/>
  <c r="G2880" i="1"/>
  <c r="F2880" i="1"/>
  <c r="E2880" i="1"/>
  <c r="D2880" i="1"/>
  <c r="B2880" i="1"/>
  <c r="A2880" i="1"/>
  <c r="G2879" i="1"/>
  <c r="F2879" i="1"/>
  <c r="E2879" i="1"/>
  <c r="D2879" i="1"/>
  <c r="B2879" i="1"/>
  <c r="A2879" i="1"/>
  <c r="G2878" i="1"/>
  <c r="F2878" i="1"/>
  <c r="E2878" i="1"/>
  <c r="D2878" i="1"/>
  <c r="B2878" i="1"/>
  <c r="A2878" i="1"/>
  <c r="G2877" i="1"/>
  <c r="F2877" i="1"/>
  <c r="E2877" i="1"/>
  <c r="D2877" i="1"/>
  <c r="B2877" i="1"/>
  <c r="A2877" i="1"/>
  <c r="G2876" i="1"/>
  <c r="F2876" i="1"/>
  <c r="E2876" i="1"/>
  <c r="D2876" i="1"/>
  <c r="B2876" i="1"/>
  <c r="A2876" i="1"/>
  <c r="G2875" i="1"/>
  <c r="F2875" i="1"/>
  <c r="E2875" i="1"/>
  <c r="D2875" i="1"/>
  <c r="B2875" i="1"/>
  <c r="A2875" i="1"/>
  <c r="G2874" i="1"/>
  <c r="F2874" i="1"/>
  <c r="E2874" i="1"/>
  <c r="D2874" i="1"/>
  <c r="B2874" i="1"/>
  <c r="A2874" i="1"/>
  <c r="G2873" i="1"/>
  <c r="F2873" i="1"/>
  <c r="E2873" i="1"/>
  <c r="D2873" i="1"/>
  <c r="B2873" i="1"/>
  <c r="A2873" i="1"/>
  <c r="G2872" i="1"/>
  <c r="F2872" i="1"/>
  <c r="E2872" i="1"/>
  <c r="D2872" i="1"/>
  <c r="B2872" i="1"/>
  <c r="A2872" i="1"/>
  <c r="G2871" i="1"/>
  <c r="F2871" i="1"/>
  <c r="E2871" i="1"/>
  <c r="D2871" i="1"/>
  <c r="B2871" i="1"/>
  <c r="A2871" i="1"/>
  <c r="G2870" i="1"/>
  <c r="F2870" i="1"/>
  <c r="E2870" i="1"/>
  <c r="D2870" i="1"/>
  <c r="B2870" i="1"/>
  <c r="A2870" i="1"/>
  <c r="G2869" i="1"/>
  <c r="F2869" i="1"/>
  <c r="E2869" i="1"/>
  <c r="D2869" i="1"/>
  <c r="B2869" i="1"/>
  <c r="A2869" i="1"/>
  <c r="G2868" i="1"/>
  <c r="F2868" i="1"/>
  <c r="E2868" i="1"/>
  <c r="D2868" i="1"/>
  <c r="B2868" i="1"/>
  <c r="A2868" i="1"/>
  <c r="G2867" i="1"/>
  <c r="F2867" i="1"/>
  <c r="E2867" i="1"/>
  <c r="D2867" i="1"/>
  <c r="B2867" i="1"/>
  <c r="A2867" i="1"/>
  <c r="G2866" i="1"/>
  <c r="F2866" i="1"/>
  <c r="E2866" i="1"/>
  <c r="D2866" i="1"/>
  <c r="B2866" i="1"/>
  <c r="A2866" i="1"/>
  <c r="G2865" i="1"/>
  <c r="F2865" i="1"/>
  <c r="E2865" i="1"/>
  <c r="D2865" i="1"/>
  <c r="B2865" i="1"/>
  <c r="A2865" i="1"/>
  <c r="G2864" i="1"/>
  <c r="F2864" i="1"/>
  <c r="E2864" i="1"/>
  <c r="D2864" i="1"/>
  <c r="B2864" i="1"/>
  <c r="A2864" i="1"/>
  <c r="G2863" i="1"/>
  <c r="F2863" i="1"/>
  <c r="E2863" i="1"/>
  <c r="D2863" i="1"/>
  <c r="B2863" i="1"/>
  <c r="A2863" i="1"/>
  <c r="G2862" i="1"/>
  <c r="F2862" i="1"/>
  <c r="E2862" i="1"/>
  <c r="D2862" i="1"/>
  <c r="B2862" i="1"/>
  <c r="A2862" i="1"/>
  <c r="G2861" i="1"/>
  <c r="F2861" i="1"/>
  <c r="E2861" i="1"/>
  <c r="D2861" i="1"/>
  <c r="B2861" i="1"/>
  <c r="A2861" i="1"/>
  <c r="G2860" i="1"/>
  <c r="F2860" i="1"/>
  <c r="E2860" i="1"/>
  <c r="D2860" i="1"/>
  <c r="B2860" i="1"/>
  <c r="A2860" i="1"/>
  <c r="G2859" i="1"/>
  <c r="F2859" i="1"/>
  <c r="E2859" i="1"/>
  <c r="D2859" i="1"/>
  <c r="B2859" i="1"/>
  <c r="A2859" i="1"/>
  <c r="G2858" i="1"/>
  <c r="F2858" i="1"/>
  <c r="E2858" i="1"/>
  <c r="D2858" i="1"/>
  <c r="B2858" i="1"/>
  <c r="A2858" i="1"/>
  <c r="G2857" i="1"/>
  <c r="F2857" i="1"/>
  <c r="E2857" i="1"/>
  <c r="D2857" i="1"/>
  <c r="B2857" i="1"/>
  <c r="A2857" i="1"/>
  <c r="G2856" i="1"/>
  <c r="F2856" i="1"/>
  <c r="E2856" i="1"/>
  <c r="D2856" i="1"/>
  <c r="B2856" i="1"/>
  <c r="A2856" i="1"/>
  <c r="G2855" i="1"/>
  <c r="F2855" i="1"/>
  <c r="E2855" i="1"/>
  <c r="D2855" i="1"/>
  <c r="B2855" i="1"/>
  <c r="A2855" i="1"/>
  <c r="G2854" i="1"/>
  <c r="F2854" i="1"/>
  <c r="E2854" i="1"/>
  <c r="D2854" i="1"/>
  <c r="B2854" i="1"/>
  <c r="A2854" i="1"/>
  <c r="G2853" i="1"/>
  <c r="F2853" i="1"/>
  <c r="E2853" i="1"/>
  <c r="D2853" i="1"/>
  <c r="B2853" i="1"/>
  <c r="A2853" i="1"/>
  <c r="G2852" i="1"/>
  <c r="F2852" i="1"/>
  <c r="E2852" i="1"/>
  <c r="D2852" i="1"/>
  <c r="B2852" i="1"/>
  <c r="A2852" i="1"/>
  <c r="G2851" i="1"/>
  <c r="F2851" i="1"/>
  <c r="E2851" i="1"/>
  <c r="D2851" i="1"/>
  <c r="B2851" i="1"/>
  <c r="A2851" i="1"/>
  <c r="G2850" i="1"/>
  <c r="F2850" i="1"/>
  <c r="E2850" i="1"/>
  <c r="D2850" i="1"/>
  <c r="B2850" i="1"/>
  <c r="A2850" i="1"/>
  <c r="G2849" i="1"/>
  <c r="F2849" i="1"/>
  <c r="E2849" i="1"/>
  <c r="D2849" i="1"/>
  <c r="B2849" i="1"/>
  <c r="A2849" i="1"/>
  <c r="G2848" i="1"/>
  <c r="F2848" i="1"/>
  <c r="E2848" i="1"/>
  <c r="D2848" i="1"/>
  <c r="B2848" i="1"/>
  <c r="A2848" i="1"/>
  <c r="G2847" i="1"/>
  <c r="F2847" i="1"/>
  <c r="E2847" i="1"/>
  <c r="D2847" i="1"/>
  <c r="B2847" i="1"/>
  <c r="A2847" i="1"/>
  <c r="G2846" i="1"/>
  <c r="F2846" i="1"/>
  <c r="E2846" i="1"/>
  <c r="D2846" i="1"/>
  <c r="B2846" i="1"/>
  <c r="A2846" i="1"/>
  <c r="G2845" i="1"/>
  <c r="F2845" i="1"/>
  <c r="E2845" i="1"/>
  <c r="D2845" i="1"/>
  <c r="B2845" i="1"/>
  <c r="A2845" i="1"/>
  <c r="G2844" i="1"/>
  <c r="F2844" i="1"/>
  <c r="E2844" i="1"/>
  <c r="D2844" i="1"/>
  <c r="B2844" i="1"/>
  <c r="A2844" i="1"/>
  <c r="G2843" i="1"/>
  <c r="F2843" i="1"/>
  <c r="E2843" i="1"/>
  <c r="D2843" i="1"/>
  <c r="B2843" i="1"/>
  <c r="A2843" i="1"/>
  <c r="G2842" i="1"/>
  <c r="F2842" i="1"/>
  <c r="E2842" i="1"/>
  <c r="D2842" i="1"/>
  <c r="B2842" i="1"/>
  <c r="A2842" i="1"/>
  <c r="G2841" i="1"/>
  <c r="F2841" i="1"/>
  <c r="E2841" i="1"/>
  <c r="D2841" i="1"/>
  <c r="B2841" i="1"/>
  <c r="A2841" i="1"/>
  <c r="G2840" i="1"/>
  <c r="F2840" i="1"/>
  <c r="E2840" i="1"/>
  <c r="D2840" i="1"/>
  <c r="B2840" i="1"/>
  <c r="A2840" i="1"/>
  <c r="G2839" i="1"/>
  <c r="F2839" i="1"/>
  <c r="E2839" i="1"/>
  <c r="D2839" i="1"/>
  <c r="B2839" i="1"/>
  <c r="A2839" i="1"/>
  <c r="G2838" i="1"/>
  <c r="F2838" i="1"/>
  <c r="E2838" i="1"/>
  <c r="D2838" i="1"/>
  <c r="B2838" i="1"/>
  <c r="A2838" i="1"/>
  <c r="G2837" i="1"/>
  <c r="F2837" i="1"/>
  <c r="E2837" i="1"/>
  <c r="D2837" i="1"/>
  <c r="B2837" i="1"/>
  <c r="A2837" i="1"/>
  <c r="G2836" i="1"/>
  <c r="F2836" i="1"/>
  <c r="E2836" i="1"/>
  <c r="D2836" i="1"/>
  <c r="B2836" i="1"/>
  <c r="A2836" i="1"/>
  <c r="G2835" i="1"/>
  <c r="F2835" i="1"/>
  <c r="E2835" i="1"/>
  <c r="D2835" i="1"/>
  <c r="B2835" i="1"/>
  <c r="A2835" i="1"/>
  <c r="G2834" i="1"/>
  <c r="F2834" i="1"/>
  <c r="E2834" i="1"/>
  <c r="D2834" i="1"/>
  <c r="B2834" i="1"/>
  <c r="A2834" i="1"/>
  <c r="G2833" i="1"/>
  <c r="F2833" i="1"/>
  <c r="E2833" i="1"/>
  <c r="D2833" i="1"/>
  <c r="B2833" i="1"/>
  <c r="A2833" i="1"/>
  <c r="G2832" i="1"/>
  <c r="F2832" i="1"/>
  <c r="E2832" i="1"/>
  <c r="D2832" i="1"/>
  <c r="B2832" i="1"/>
  <c r="A2832" i="1"/>
  <c r="G2831" i="1"/>
  <c r="F2831" i="1"/>
  <c r="E2831" i="1"/>
  <c r="D2831" i="1"/>
  <c r="B2831" i="1"/>
  <c r="A2831" i="1"/>
  <c r="G2830" i="1"/>
  <c r="F2830" i="1"/>
  <c r="E2830" i="1"/>
  <c r="D2830" i="1"/>
  <c r="B2830" i="1"/>
  <c r="A2830" i="1"/>
  <c r="G2829" i="1"/>
  <c r="F2829" i="1"/>
  <c r="E2829" i="1"/>
  <c r="D2829" i="1"/>
  <c r="B2829" i="1"/>
  <c r="A2829" i="1"/>
  <c r="G2828" i="1"/>
  <c r="F2828" i="1"/>
  <c r="E2828" i="1"/>
  <c r="D2828" i="1"/>
  <c r="B2828" i="1"/>
  <c r="A2828" i="1"/>
  <c r="G2827" i="1"/>
  <c r="F2827" i="1"/>
  <c r="E2827" i="1"/>
  <c r="D2827" i="1"/>
  <c r="B2827" i="1"/>
  <c r="A2827" i="1"/>
  <c r="G2826" i="1"/>
  <c r="F2826" i="1"/>
  <c r="E2826" i="1"/>
  <c r="D2826" i="1"/>
  <c r="B2826" i="1"/>
  <c r="A2826" i="1"/>
  <c r="G2825" i="1"/>
  <c r="F2825" i="1"/>
  <c r="E2825" i="1"/>
  <c r="D2825" i="1"/>
  <c r="B2825" i="1"/>
  <c r="A2825" i="1"/>
  <c r="G2824" i="1"/>
  <c r="F2824" i="1"/>
  <c r="E2824" i="1"/>
  <c r="D2824" i="1"/>
  <c r="B2824" i="1"/>
  <c r="A2824" i="1"/>
  <c r="G2823" i="1"/>
  <c r="F2823" i="1"/>
  <c r="E2823" i="1"/>
  <c r="D2823" i="1"/>
  <c r="B2823" i="1"/>
  <c r="A2823" i="1"/>
  <c r="G2822" i="1"/>
  <c r="F2822" i="1"/>
  <c r="E2822" i="1"/>
  <c r="D2822" i="1"/>
  <c r="B2822" i="1"/>
  <c r="A2822" i="1"/>
  <c r="G2821" i="1"/>
  <c r="F2821" i="1"/>
  <c r="E2821" i="1"/>
  <c r="D2821" i="1"/>
  <c r="B2821" i="1"/>
  <c r="A2821" i="1"/>
  <c r="G2820" i="1"/>
  <c r="F2820" i="1"/>
  <c r="E2820" i="1"/>
  <c r="D2820" i="1"/>
  <c r="B2820" i="1"/>
  <c r="A2820" i="1"/>
  <c r="G2819" i="1"/>
  <c r="F2819" i="1"/>
  <c r="E2819" i="1"/>
  <c r="D2819" i="1"/>
  <c r="B2819" i="1"/>
  <c r="A2819" i="1"/>
  <c r="G2818" i="1"/>
  <c r="F2818" i="1"/>
  <c r="E2818" i="1"/>
  <c r="D2818" i="1"/>
  <c r="B2818" i="1"/>
  <c r="A2818" i="1"/>
  <c r="G2817" i="1"/>
  <c r="F2817" i="1"/>
  <c r="E2817" i="1"/>
  <c r="D2817" i="1"/>
  <c r="B2817" i="1"/>
  <c r="A2817" i="1"/>
  <c r="G2816" i="1"/>
  <c r="F2816" i="1"/>
  <c r="E2816" i="1"/>
  <c r="D2816" i="1"/>
  <c r="B2816" i="1"/>
  <c r="A2816" i="1"/>
  <c r="G2815" i="1"/>
  <c r="F2815" i="1"/>
  <c r="E2815" i="1"/>
  <c r="D2815" i="1"/>
  <c r="B2815" i="1"/>
  <c r="A2815" i="1"/>
  <c r="G2814" i="1"/>
  <c r="F2814" i="1"/>
  <c r="E2814" i="1"/>
  <c r="D2814" i="1"/>
  <c r="B2814" i="1"/>
  <c r="A2814" i="1"/>
  <c r="G2813" i="1"/>
  <c r="F2813" i="1"/>
  <c r="E2813" i="1"/>
  <c r="D2813" i="1"/>
  <c r="B2813" i="1"/>
  <c r="A2813" i="1"/>
  <c r="G2812" i="1"/>
  <c r="F2812" i="1"/>
  <c r="E2812" i="1"/>
  <c r="D2812" i="1"/>
  <c r="B2812" i="1"/>
  <c r="A2812" i="1"/>
  <c r="G2811" i="1"/>
  <c r="F2811" i="1"/>
  <c r="E2811" i="1"/>
  <c r="D2811" i="1"/>
  <c r="B2811" i="1"/>
  <c r="A2811" i="1"/>
  <c r="G2810" i="1"/>
  <c r="F2810" i="1"/>
  <c r="E2810" i="1"/>
  <c r="D2810" i="1"/>
  <c r="B2810" i="1"/>
  <c r="A2810" i="1"/>
  <c r="G2809" i="1"/>
  <c r="F2809" i="1"/>
  <c r="E2809" i="1"/>
  <c r="D2809" i="1"/>
  <c r="B2809" i="1"/>
  <c r="A2809" i="1"/>
  <c r="G2808" i="1"/>
  <c r="F2808" i="1"/>
  <c r="E2808" i="1"/>
  <c r="D2808" i="1"/>
  <c r="B2808" i="1"/>
  <c r="A2808" i="1"/>
  <c r="G2807" i="1"/>
  <c r="F2807" i="1"/>
  <c r="E2807" i="1"/>
  <c r="D2807" i="1"/>
  <c r="B2807" i="1"/>
  <c r="A2807" i="1"/>
  <c r="G2806" i="1"/>
  <c r="F2806" i="1"/>
  <c r="E2806" i="1"/>
  <c r="D2806" i="1"/>
  <c r="B2806" i="1"/>
  <c r="A2806" i="1"/>
  <c r="G2805" i="1"/>
  <c r="F2805" i="1"/>
  <c r="E2805" i="1"/>
  <c r="D2805" i="1"/>
  <c r="B2805" i="1"/>
  <c r="A2805" i="1"/>
  <c r="G2804" i="1"/>
  <c r="F2804" i="1"/>
  <c r="E2804" i="1"/>
  <c r="D2804" i="1"/>
  <c r="B2804" i="1"/>
  <c r="A2804" i="1"/>
  <c r="G2803" i="1"/>
  <c r="F2803" i="1"/>
  <c r="E2803" i="1"/>
  <c r="D2803" i="1"/>
  <c r="B2803" i="1"/>
  <c r="A2803" i="1"/>
  <c r="G2802" i="1"/>
  <c r="F2802" i="1"/>
  <c r="E2802" i="1"/>
  <c r="D2802" i="1"/>
  <c r="B2802" i="1"/>
  <c r="A2802" i="1"/>
  <c r="G2801" i="1"/>
  <c r="F2801" i="1"/>
  <c r="E2801" i="1"/>
  <c r="D2801" i="1"/>
  <c r="B2801" i="1"/>
  <c r="A2801" i="1"/>
  <c r="G2800" i="1"/>
  <c r="F2800" i="1"/>
  <c r="E2800" i="1"/>
  <c r="D2800" i="1"/>
  <c r="B2800" i="1"/>
  <c r="A2800" i="1"/>
  <c r="G2799" i="1"/>
  <c r="F2799" i="1"/>
  <c r="E2799" i="1"/>
  <c r="D2799" i="1"/>
  <c r="B2799" i="1"/>
  <c r="A2799" i="1"/>
  <c r="G2798" i="1"/>
  <c r="F2798" i="1"/>
  <c r="E2798" i="1"/>
  <c r="D2798" i="1"/>
  <c r="B2798" i="1"/>
  <c r="A2798" i="1"/>
  <c r="G2797" i="1"/>
  <c r="F2797" i="1"/>
  <c r="E2797" i="1"/>
  <c r="D2797" i="1"/>
  <c r="B2797" i="1"/>
  <c r="A2797" i="1"/>
  <c r="G2796" i="1"/>
  <c r="F2796" i="1"/>
  <c r="E2796" i="1"/>
  <c r="D2796" i="1"/>
  <c r="B2796" i="1"/>
  <c r="A2796" i="1"/>
  <c r="G2795" i="1"/>
  <c r="F2795" i="1"/>
  <c r="E2795" i="1"/>
  <c r="D2795" i="1"/>
  <c r="B2795" i="1"/>
  <c r="A2795" i="1"/>
  <c r="G2794" i="1"/>
  <c r="F2794" i="1"/>
  <c r="E2794" i="1"/>
  <c r="D2794" i="1"/>
  <c r="B2794" i="1"/>
  <c r="A2794" i="1"/>
  <c r="G2793" i="1"/>
  <c r="F2793" i="1"/>
  <c r="E2793" i="1"/>
  <c r="D2793" i="1"/>
  <c r="B2793" i="1"/>
  <c r="A2793" i="1"/>
  <c r="G2792" i="1"/>
  <c r="F2792" i="1"/>
  <c r="E2792" i="1"/>
  <c r="D2792" i="1"/>
  <c r="B2792" i="1"/>
  <c r="A2792" i="1"/>
  <c r="G2791" i="1"/>
  <c r="F2791" i="1"/>
  <c r="E2791" i="1"/>
  <c r="D2791" i="1"/>
  <c r="B2791" i="1"/>
  <c r="A2791" i="1"/>
  <c r="G2790" i="1"/>
  <c r="F2790" i="1"/>
  <c r="E2790" i="1"/>
  <c r="D2790" i="1"/>
  <c r="B2790" i="1"/>
  <c r="A2790" i="1"/>
  <c r="G2789" i="1"/>
  <c r="F2789" i="1"/>
  <c r="E2789" i="1"/>
  <c r="D2789" i="1"/>
  <c r="B2789" i="1"/>
  <c r="A2789" i="1"/>
  <c r="G2788" i="1"/>
  <c r="F2788" i="1"/>
  <c r="E2788" i="1"/>
  <c r="D2788" i="1"/>
  <c r="B2788" i="1"/>
  <c r="A2788" i="1"/>
  <c r="G2787" i="1"/>
  <c r="F2787" i="1"/>
  <c r="E2787" i="1"/>
  <c r="D2787" i="1"/>
  <c r="B2787" i="1"/>
  <c r="A2787" i="1"/>
  <c r="G2786" i="1"/>
  <c r="F2786" i="1"/>
  <c r="E2786" i="1"/>
  <c r="D2786" i="1"/>
  <c r="B2786" i="1"/>
  <c r="A2786" i="1"/>
  <c r="G2785" i="1"/>
  <c r="F2785" i="1"/>
  <c r="E2785" i="1"/>
  <c r="D2785" i="1"/>
  <c r="B2785" i="1"/>
  <c r="A2785" i="1"/>
  <c r="G2784" i="1"/>
  <c r="F2784" i="1"/>
  <c r="E2784" i="1"/>
  <c r="D2784" i="1"/>
  <c r="B2784" i="1"/>
  <c r="A2784" i="1"/>
  <c r="G2783" i="1"/>
  <c r="F2783" i="1"/>
  <c r="E2783" i="1"/>
  <c r="D2783" i="1"/>
  <c r="B2783" i="1"/>
  <c r="A2783" i="1"/>
  <c r="G2782" i="1"/>
  <c r="F2782" i="1"/>
  <c r="E2782" i="1"/>
  <c r="D2782" i="1"/>
  <c r="B2782" i="1"/>
  <c r="A2782" i="1"/>
  <c r="G2781" i="1"/>
  <c r="F2781" i="1"/>
  <c r="E2781" i="1"/>
  <c r="D2781" i="1"/>
  <c r="B2781" i="1"/>
  <c r="A2781" i="1"/>
  <c r="G2780" i="1"/>
  <c r="F2780" i="1"/>
  <c r="E2780" i="1"/>
  <c r="D2780" i="1"/>
  <c r="B2780" i="1"/>
  <c r="A2780" i="1"/>
  <c r="G2779" i="1"/>
  <c r="F2779" i="1"/>
  <c r="E2779" i="1"/>
  <c r="D2779" i="1"/>
  <c r="B2779" i="1"/>
  <c r="A2779" i="1"/>
  <c r="G2778" i="1"/>
  <c r="F2778" i="1"/>
  <c r="E2778" i="1"/>
  <c r="D2778" i="1"/>
  <c r="B2778" i="1"/>
  <c r="A2778" i="1"/>
  <c r="G2777" i="1"/>
  <c r="F2777" i="1"/>
  <c r="E2777" i="1"/>
  <c r="D2777" i="1"/>
  <c r="B2777" i="1"/>
  <c r="A2777" i="1"/>
  <c r="G2776" i="1"/>
  <c r="F2776" i="1"/>
  <c r="E2776" i="1"/>
  <c r="D2776" i="1"/>
  <c r="B2776" i="1"/>
  <c r="A2776" i="1"/>
  <c r="G2775" i="1"/>
  <c r="F2775" i="1"/>
  <c r="E2775" i="1"/>
  <c r="D2775" i="1"/>
  <c r="B2775" i="1"/>
  <c r="A2775" i="1"/>
  <c r="G2774" i="1"/>
  <c r="F2774" i="1"/>
  <c r="E2774" i="1"/>
  <c r="D2774" i="1"/>
  <c r="B2774" i="1"/>
  <c r="A2774" i="1"/>
  <c r="G2773" i="1"/>
  <c r="F2773" i="1"/>
  <c r="E2773" i="1"/>
  <c r="D2773" i="1"/>
  <c r="B2773" i="1"/>
  <c r="A2773" i="1"/>
  <c r="G2772" i="1"/>
  <c r="F2772" i="1"/>
  <c r="E2772" i="1"/>
  <c r="D2772" i="1"/>
  <c r="B2772" i="1"/>
  <c r="A2772" i="1"/>
  <c r="G2771" i="1"/>
  <c r="F2771" i="1"/>
  <c r="E2771" i="1"/>
  <c r="D2771" i="1"/>
  <c r="B2771" i="1"/>
  <c r="A2771" i="1"/>
  <c r="G2770" i="1"/>
  <c r="F2770" i="1"/>
  <c r="E2770" i="1"/>
  <c r="D2770" i="1"/>
  <c r="B2770" i="1"/>
  <c r="A2770" i="1"/>
  <c r="G2769" i="1"/>
  <c r="F2769" i="1"/>
  <c r="E2769" i="1"/>
  <c r="D2769" i="1"/>
  <c r="B2769" i="1"/>
  <c r="A2769" i="1"/>
  <c r="G2768" i="1"/>
  <c r="F2768" i="1"/>
  <c r="E2768" i="1"/>
  <c r="D2768" i="1"/>
  <c r="B2768" i="1"/>
  <c r="A2768" i="1"/>
  <c r="G2767" i="1"/>
  <c r="F2767" i="1"/>
  <c r="E2767" i="1"/>
  <c r="D2767" i="1"/>
  <c r="B2767" i="1"/>
  <c r="A2767" i="1"/>
  <c r="G2766" i="1"/>
  <c r="F2766" i="1"/>
  <c r="E2766" i="1"/>
  <c r="D2766" i="1"/>
  <c r="B2766" i="1"/>
  <c r="A2766" i="1"/>
  <c r="G2765" i="1"/>
  <c r="F2765" i="1"/>
  <c r="E2765" i="1"/>
  <c r="D2765" i="1"/>
  <c r="B2765" i="1"/>
  <c r="A2765" i="1"/>
  <c r="G2764" i="1"/>
  <c r="F2764" i="1"/>
  <c r="E2764" i="1"/>
  <c r="D2764" i="1"/>
  <c r="B2764" i="1"/>
  <c r="A2764" i="1"/>
  <c r="G2763" i="1"/>
  <c r="F2763" i="1"/>
  <c r="E2763" i="1"/>
  <c r="D2763" i="1"/>
  <c r="B2763" i="1"/>
  <c r="A2763" i="1"/>
  <c r="G2762" i="1"/>
  <c r="F2762" i="1"/>
  <c r="E2762" i="1"/>
  <c r="D2762" i="1"/>
  <c r="B2762" i="1"/>
  <c r="A2762" i="1"/>
  <c r="G2761" i="1"/>
  <c r="F2761" i="1"/>
  <c r="E2761" i="1"/>
  <c r="D2761" i="1"/>
  <c r="B2761" i="1"/>
  <c r="A2761" i="1"/>
  <c r="G2760" i="1"/>
  <c r="F2760" i="1"/>
  <c r="E2760" i="1"/>
  <c r="D2760" i="1"/>
  <c r="B2760" i="1"/>
  <c r="A2760" i="1"/>
  <c r="G2759" i="1"/>
  <c r="F2759" i="1"/>
  <c r="E2759" i="1"/>
  <c r="D2759" i="1"/>
  <c r="B2759" i="1"/>
  <c r="A2759" i="1"/>
  <c r="G2758" i="1"/>
  <c r="F2758" i="1"/>
  <c r="E2758" i="1"/>
  <c r="D2758" i="1"/>
  <c r="B2758" i="1"/>
  <c r="A2758" i="1"/>
  <c r="G2757" i="1"/>
  <c r="F2757" i="1"/>
  <c r="E2757" i="1"/>
  <c r="D2757" i="1"/>
  <c r="B2757" i="1"/>
  <c r="A2757" i="1"/>
  <c r="G2756" i="1"/>
  <c r="F2756" i="1"/>
  <c r="E2756" i="1"/>
  <c r="D2756" i="1"/>
  <c r="B2756" i="1"/>
  <c r="A2756" i="1"/>
  <c r="G2755" i="1"/>
  <c r="F2755" i="1"/>
  <c r="E2755" i="1"/>
  <c r="D2755" i="1"/>
  <c r="B2755" i="1"/>
  <c r="A2755" i="1"/>
  <c r="G2754" i="1"/>
  <c r="F2754" i="1"/>
  <c r="E2754" i="1"/>
  <c r="D2754" i="1"/>
  <c r="B2754" i="1"/>
  <c r="A2754" i="1"/>
  <c r="G2753" i="1"/>
  <c r="F2753" i="1"/>
  <c r="E2753" i="1"/>
  <c r="D2753" i="1"/>
  <c r="B2753" i="1"/>
  <c r="A2753" i="1"/>
  <c r="G2752" i="1"/>
  <c r="F2752" i="1"/>
  <c r="E2752" i="1"/>
  <c r="D2752" i="1"/>
  <c r="B2752" i="1"/>
  <c r="A2752" i="1"/>
  <c r="G2751" i="1"/>
  <c r="F2751" i="1"/>
  <c r="E2751" i="1"/>
  <c r="D2751" i="1"/>
  <c r="B2751" i="1"/>
  <c r="A2751" i="1"/>
  <c r="G2750" i="1"/>
  <c r="F2750" i="1"/>
  <c r="E2750" i="1"/>
  <c r="D2750" i="1"/>
  <c r="B2750" i="1"/>
  <c r="A2750" i="1"/>
  <c r="G2749" i="1"/>
  <c r="F2749" i="1"/>
  <c r="E2749" i="1"/>
  <c r="D2749" i="1"/>
  <c r="B2749" i="1"/>
  <c r="A2749" i="1"/>
  <c r="G2748" i="1"/>
  <c r="F2748" i="1"/>
  <c r="E2748" i="1"/>
  <c r="D2748" i="1"/>
  <c r="B2748" i="1"/>
  <c r="A2748" i="1"/>
  <c r="G2747" i="1"/>
  <c r="F2747" i="1"/>
  <c r="E2747" i="1"/>
  <c r="D2747" i="1"/>
  <c r="B2747" i="1"/>
  <c r="A2747" i="1"/>
  <c r="G2746" i="1"/>
  <c r="F2746" i="1"/>
  <c r="E2746" i="1"/>
  <c r="D2746" i="1"/>
  <c r="B2746" i="1"/>
  <c r="A2746" i="1"/>
  <c r="G2745" i="1"/>
  <c r="F2745" i="1"/>
  <c r="E2745" i="1"/>
  <c r="D2745" i="1"/>
  <c r="B2745" i="1"/>
  <c r="A2745" i="1"/>
  <c r="G2744" i="1"/>
  <c r="F2744" i="1"/>
  <c r="E2744" i="1"/>
  <c r="D2744" i="1"/>
  <c r="B2744" i="1"/>
  <c r="A2744" i="1"/>
  <c r="G2743" i="1"/>
  <c r="F2743" i="1"/>
  <c r="E2743" i="1"/>
  <c r="D2743" i="1"/>
  <c r="B2743" i="1"/>
  <c r="A2743" i="1"/>
  <c r="G2742" i="1"/>
  <c r="F2742" i="1"/>
  <c r="E2742" i="1"/>
  <c r="D2742" i="1"/>
  <c r="B2742" i="1"/>
  <c r="A2742" i="1"/>
  <c r="G2741" i="1"/>
  <c r="F2741" i="1"/>
  <c r="E2741" i="1"/>
  <c r="D2741" i="1"/>
  <c r="B2741" i="1"/>
  <c r="A2741" i="1"/>
  <c r="G2740" i="1"/>
  <c r="F2740" i="1"/>
  <c r="E2740" i="1"/>
  <c r="D2740" i="1"/>
  <c r="B2740" i="1"/>
  <c r="A2740" i="1"/>
  <c r="G2739" i="1"/>
  <c r="F2739" i="1"/>
  <c r="E2739" i="1"/>
  <c r="D2739" i="1"/>
  <c r="B2739" i="1"/>
  <c r="A2739" i="1"/>
  <c r="G2738" i="1"/>
  <c r="F2738" i="1"/>
  <c r="E2738" i="1"/>
  <c r="D2738" i="1"/>
  <c r="B2738" i="1"/>
  <c r="A2738" i="1"/>
  <c r="G2737" i="1"/>
  <c r="F2737" i="1"/>
  <c r="E2737" i="1"/>
  <c r="D2737" i="1"/>
  <c r="B2737" i="1"/>
  <c r="A2737" i="1"/>
  <c r="G2736" i="1"/>
  <c r="F2736" i="1"/>
  <c r="E2736" i="1"/>
  <c r="D2736" i="1"/>
  <c r="B2736" i="1"/>
  <c r="A2736" i="1"/>
  <c r="G2735" i="1"/>
  <c r="F2735" i="1"/>
  <c r="E2735" i="1"/>
  <c r="D2735" i="1"/>
  <c r="B2735" i="1"/>
  <c r="A2735" i="1"/>
  <c r="G2734" i="1"/>
  <c r="F2734" i="1"/>
  <c r="E2734" i="1"/>
  <c r="D2734" i="1"/>
  <c r="B2734" i="1"/>
  <c r="A2734" i="1"/>
  <c r="G2733" i="1"/>
  <c r="F2733" i="1"/>
  <c r="E2733" i="1"/>
  <c r="D2733" i="1"/>
  <c r="B2733" i="1"/>
  <c r="A2733" i="1"/>
  <c r="G2732" i="1"/>
  <c r="F2732" i="1"/>
  <c r="E2732" i="1"/>
  <c r="D2732" i="1"/>
  <c r="B2732" i="1"/>
  <c r="A2732" i="1"/>
  <c r="G2731" i="1"/>
  <c r="F2731" i="1"/>
  <c r="E2731" i="1"/>
  <c r="D2731" i="1"/>
  <c r="B2731" i="1"/>
  <c r="A2731" i="1"/>
  <c r="G2730" i="1"/>
  <c r="F2730" i="1"/>
  <c r="E2730" i="1"/>
  <c r="D2730" i="1"/>
  <c r="B2730" i="1"/>
  <c r="A2730" i="1"/>
  <c r="G2729" i="1"/>
  <c r="F2729" i="1"/>
  <c r="E2729" i="1"/>
  <c r="D2729" i="1"/>
  <c r="B2729" i="1"/>
  <c r="A2729" i="1"/>
  <c r="G2728" i="1"/>
  <c r="F2728" i="1"/>
  <c r="E2728" i="1"/>
  <c r="D2728" i="1"/>
  <c r="B2728" i="1"/>
  <c r="A2728" i="1"/>
  <c r="G2727" i="1"/>
  <c r="F2727" i="1"/>
  <c r="E2727" i="1"/>
  <c r="D2727" i="1"/>
  <c r="B2727" i="1"/>
  <c r="A2727" i="1"/>
  <c r="G2726" i="1"/>
  <c r="F2726" i="1"/>
  <c r="E2726" i="1"/>
  <c r="D2726" i="1"/>
  <c r="B2726" i="1"/>
  <c r="A2726" i="1"/>
  <c r="G2725" i="1"/>
  <c r="F2725" i="1"/>
  <c r="E2725" i="1"/>
  <c r="D2725" i="1"/>
  <c r="B2725" i="1"/>
  <c r="A2725" i="1"/>
  <c r="G2724" i="1"/>
  <c r="F2724" i="1"/>
  <c r="E2724" i="1"/>
  <c r="D2724" i="1"/>
  <c r="B2724" i="1"/>
  <c r="A2724" i="1"/>
  <c r="G2723" i="1"/>
  <c r="F2723" i="1"/>
  <c r="E2723" i="1"/>
  <c r="D2723" i="1"/>
  <c r="B2723" i="1"/>
  <c r="A2723" i="1"/>
  <c r="G2722" i="1"/>
  <c r="F2722" i="1"/>
  <c r="E2722" i="1"/>
  <c r="D2722" i="1"/>
  <c r="B2722" i="1"/>
  <c r="A2722" i="1"/>
  <c r="G2721" i="1"/>
  <c r="F2721" i="1"/>
  <c r="E2721" i="1"/>
  <c r="D2721" i="1"/>
  <c r="B2721" i="1"/>
  <c r="A2721" i="1"/>
  <c r="G2720" i="1"/>
  <c r="F2720" i="1"/>
  <c r="E2720" i="1"/>
  <c r="D2720" i="1"/>
  <c r="B2720" i="1"/>
  <c r="A2720" i="1"/>
  <c r="G2719" i="1"/>
  <c r="F2719" i="1"/>
  <c r="E2719" i="1"/>
  <c r="D2719" i="1"/>
  <c r="B2719" i="1"/>
  <c r="A2719" i="1"/>
  <c r="G2718" i="1"/>
  <c r="F2718" i="1"/>
  <c r="E2718" i="1"/>
  <c r="D2718" i="1"/>
  <c r="B2718" i="1"/>
  <c r="A2718" i="1"/>
  <c r="G2717" i="1"/>
  <c r="F2717" i="1"/>
  <c r="E2717" i="1"/>
  <c r="D2717" i="1"/>
  <c r="B2717" i="1"/>
  <c r="A2717" i="1"/>
  <c r="G2716" i="1"/>
  <c r="F2716" i="1"/>
  <c r="E2716" i="1"/>
  <c r="D2716" i="1"/>
  <c r="B2716" i="1"/>
  <c r="A2716" i="1"/>
  <c r="G2715" i="1"/>
  <c r="F2715" i="1"/>
  <c r="E2715" i="1"/>
  <c r="D2715" i="1"/>
  <c r="B2715" i="1"/>
  <c r="A2715" i="1"/>
  <c r="G2714" i="1"/>
  <c r="F2714" i="1"/>
  <c r="E2714" i="1"/>
  <c r="D2714" i="1"/>
  <c r="B2714" i="1"/>
  <c r="A2714" i="1"/>
  <c r="G2713" i="1"/>
  <c r="F2713" i="1"/>
  <c r="E2713" i="1"/>
  <c r="D2713" i="1"/>
  <c r="B2713" i="1"/>
  <c r="A2713" i="1"/>
  <c r="G2712" i="1"/>
  <c r="F2712" i="1"/>
  <c r="E2712" i="1"/>
  <c r="D2712" i="1"/>
  <c r="B2712" i="1"/>
  <c r="A2712" i="1"/>
  <c r="G2711" i="1"/>
  <c r="F2711" i="1"/>
  <c r="E2711" i="1"/>
  <c r="D2711" i="1"/>
  <c r="B2711" i="1"/>
  <c r="A2711" i="1"/>
  <c r="G2710" i="1"/>
  <c r="F2710" i="1"/>
  <c r="E2710" i="1"/>
  <c r="D2710" i="1"/>
  <c r="B2710" i="1"/>
  <c r="A2710" i="1"/>
  <c r="G2709" i="1"/>
  <c r="F2709" i="1"/>
  <c r="E2709" i="1"/>
  <c r="D2709" i="1"/>
  <c r="B2709" i="1"/>
  <c r="A2709" i="1"/>
  <c r="G2708" i="1"/>
  <c r="F2708" i="1"/>
  <c r="E2708" i="1"/>
  <c r="D2708" i="1"/>
  <c r="B2708" i="1"/>
  <c r="A2708" i="1"/>
  <c r="G2707" i="1"/>
  <c r="F2707" i="1"/>
  <c r="E2707" i="1"/>
  <c r="D2707" i="1"/>
  <c r="B2707" i="1"/>
  <c r="A2707" i="1"/>
  <c r="G2706" i="1"/>
  <c r="F2706" i="1"/>
  <c r="E2706" i="1"/>
  <c r="D2706" i="1"/>
  <c r="B2706" i="1"/>
  <c r="A2706" i="1"/>
  <c r="G2705" i="1"/>
  <c r="F2705" i="1"/>
  <c r="E2705" i="1"/>
  <c r="D2705" i="1"/>
  <c r="B2705" i="1"/>
  <c r="A2705" i="1"/>
  <c r="G2704" i="1"/>
  <c r="F2704" i="1"/>
  <c r="E2704" i="1"/>
  <c r="D2704" i="1"/>
  <c r="B2704" i="1"/>
  <c r="A2704" i="1"/>
  <c r="G2703" i="1"/>
  <c r="F2703" i="1"/>
  <c r="E2703" i="1"/>
  <c r="D2703" i="1"/>
  <c r="B2703" i="1"/>
  <c r="A2703" i="1"/>
  <c r="G2702" i="1"/>
  <c r="F2702" i="1"/>
  <c r="E2702" i="1"/>
  <c r="D2702" i="1"/>
  <c r="B2702" i="1"/>
  <c r="A2702" i="1"/>
  <c r="G2701" i="1"/>
  <c r="F2701" i="1"/>
  <c r="E2701" i="1"/>
  <c r="D2701" i="1"/>
  <c r="B2701" i="1"/>
  <c r="A2701" i="1"/>
  <c r="G2700" i="1"/>
  <c r="F2700" i="1"/>
  <c r="E2700" i="1"/>
  <c r="D2700" i="1"/>
  <c r="B2700" i="1"/>
  <c r="A2700" i="1"/>
  <c r="G2699" i="1"/>
  <c r="F2699" i="1"/>
  <c r="E2699" i="1"/>
  <c r="D2699" i="1"/>
  <c r="B2699" i="1"/>
  <c r="A2699" i="1"/>
  <c r="G2698" i="1"/>
  <c r="F2698" i="1"/>
  <c r="E2698" i="1"/>
  <c r="D2698" i="1"/>
  <c r="B2698" i="1"/>
  <c r="A2698" i="1"/>
  <c r="G2697" i="1"/>
  <c r="F2697" i="1"/>
  <c r="E2697" i="1"/>
  <c r="D2697" i="1"/>
  <c r="B2697" i="1"/>
  <c r="A2697" i="1"/>
  <c r="G2696" i="1"/>
  <c r="F2696" i="1"/>
  <c r="E2696" i="1"/>
  <c r="D2696" i="1"/>
  <c r="B2696" i="1"/>
  <c r="A2696" i="1"/>
  <c r="G2695" i="1"/>
  <c r="F2695" i="1"/>
  <c r="E2695" i="1"/>
  <c r="D2695" i="1"/>
  <c r="B2695" i="1"/>
  <c r="A2695" i="1"/>
  <c r="G2694" i="1"/>
  <c r="F2694" i="1"/>
  <c r="E2694" i="1"/>
  <c r="D2694" i="1"/>
  <c r="B2694" i="1"/>
  <c r="A2694" i="1"/>
  <c r="G2693" i="1"/>
  <c r="F2693" i="1"/>
  <c r="E2693" i="1"/>
  <c r="D2693" i="1"/>
  <c r="B2693" i="1"/>
  <c r="A2693" i="1"/>
  <c r="G2692" i="1"/>
  <c r="F2692" i="1"/>
  <c r="E2692" i="1"/>
  <c r="D2692" i="1"/>
  <c r="B2692" i="1"/>
  <c r="A2692" i="1"/>
  <c r="G2691" i="1"/>
  <c r="F2691" i="1"/>
  <c r="E2691" i="1"/>
  <c r="D2691" i="1"/>
  <c r="B2691" i="1"/>
  <c r="A2691" i="1"/>
  <c r="G2690" i="1"/>
  <c r="F2690" i="1"/>
  <c r="E2690" i="1"/>
  <c r="D2690" i="1"/>
  <c r="B2690" i="1"/>
  <c r="A2690" i="1"/>
  <c r="G2689" i="1"/>
  <c r="F2689" i="1"/>
  <c r="E2689" i="1"/>
  <c r="D2689" i="1"/>
  <c r="B2689" i="1"/>
  <c r="A2689" i="1"/>
  <c r="G2688" i="1"/>
  <c r="F2688" i="1"/>
  <c r="E2688" i="1"/>
  <c r="D2688" i="1"/>
  <c r="B2688" i="1"/>
  <c r="A2688" i="1"/>
  <c r="G2687" i="1"/>
  <c r="F2687" i="1"/>
  <c r="E2687" i="1"/>
  <c r="D2687" i="1"/>
  <c r="B2687" i="1"/>
  <c r="A2687" i="1"/>
  <c r="G2686" i="1"/>
  <c r="F2686" i="1"/>
  <c r="E2686" i="1"/>
  <c r="D2686" i="1"/>
  <c r="B2686" i="1"/>
  <c r="A2686" i="1"/>
  <c r="G2685" i="1"/>
  <c r="F2685" i="1"/>
  <c r="E2685" i="1"/>
  <c r="D2685" i="1"/>
  <c r="B2685" i="1"/>
  <c r="A2685" i="1"/>
  <c r="G2684" i="1"/>
  <c r="F2684" i="1"/>
  <c r="E2684" i="1"/>
  <c r="D2684" i="1"/>
  <c r="B2684" i="1"/>
  <c r="A2684" i="1"/>
  <c r="G2683" i="1"/>
  <c r="F2683" i="1"/>
  <c r="E2683" i="1"/>
  <c r="D2683" i="1"/>
  <c r="B2683" i="1"/>
  <c r="A2683" i="1"/>
  <c r="G2682" i="1"/>
  <c r="F2682" i="1"/>
  <c r="E2682" i="1"/>
  <c r="D2682" i="1"/>
  <c r="B2682" i="1"/>
  <c r="A2682" i="1"/>
  <c r="G2681" i="1"/>
  <c r="F2681" i="1"/>
  <c r="E2681" i="1"/>
  <c r="D2681" i="1"/>
  <c r="B2681" i="1"/>
  <c r="A2681" i="1"/>
  <c r="G2680" i="1"/>
  <c r="F2680" i="1"/>
  <c r="E2680" i="1"/>
  <c r="D2680" i="1"/>
  <c r="B2680" i="1"/>
  <c r="A2680" i="1"/>
  <c r="G2679" i="1"/>
  <c r="F2679" i="1"/>
  <c r="E2679" i="1"/>
  <c r="D2679" i="1"/>
  <c r="B2679" i="1"/>
  <c r="A2679" i="1"/>
  <c r="G2678" i="1"/>
  <c r="F2678" i="1"/>
  <c r="E2678" i="1"/>
  <c r="D2678" i="1"/>
  <c r="B2678" i="1"/>
  <c r="A2678" i="1"/>
  <c r="G2677" i="1"/>
  <c r="F2677" i="1"/>
  <c r="E2677" i="1"/>
  <c r="D2677" i="1"/>
  <c r="B2677" i="1"/>
  <c r="A2677" i="1"/>
  <c r="G2676" i="1"/>
  <c r="F2676" i="1"/>
  <c r="E2676" i="1"/>
  <c r="D2676" i="1"/>
  <c r="B2676" i="1"/>
  <c r="A2676" i="1"/>
  <c r="G2675" i="1"/>
  <c r="F2675" i="1"/>
  <c r="E2675" i="1"/>
  <c r="D2675" i="1"/>
  <c r="B2675" i="1"/>
  <c r="A2675" i="1"/>
  <c r="G2674" i="1"/>
  <c r="F2674" i="1"/>
  <c r="E2674" i="1"/>
  <c r="D2674" i="1"/>
  <c r="B2674" i="1"/>
  <c r="A2674" i="1"/>
  <c r="G2673" i="1"/>
  <c r="F2673" i="1"/>
  <c r="E2673" i="1"/>
  <c r="D2673" i="1"/>
  <c r="B2673" i="1"/>
  <c r="A2673" i="1"/>
  <c r="G2672" i="1"/>
  <c r="F2672" i="1"/>
  <c r="E2672" i="1"/>
  <c r="D2672" i="1"/>
  <c r="B2672" i="1"/>
  <c r="A2672" i="1"/>
  <c r="G2671" i="1"/>
  <c r="F2671" i="1"/>
  <c r="E2671" i="1"/>
  <c r="D2671" i="1"/>
  <c r="B2671" i="1"/>
  <c r="A2671" i="1"/>
  <c r="G2670" i="1"/>
  <c r="F2670" i="1"/>
  <c r="E2670" i="1"/>
  <c r="D2670" i="1"/>
  <c r="B2670" i="1"/>
  <c r="A2670" i="1"/>
  <c r="G2669" i="1"/>
  <c r="F2669" i="1"/>
  <c r="E2669" i="1"/>
  <c r="D2669" i="1"/>
  <c r="B2669" i="1"/>
  <c r="G2668" i="1"/>
  <c r="F2668" i="1"/>
  <c r="E2668" i="1"/>
  <c r="D2668" i="1"/>
  <c r="B2668" i="1"/>
  <c r="A2668" i="1"/>
  <c r="G2667" i="1"/>
  <c r="F2667" i="1"/>
  <c r="E2667" i="1"/>
  <c r="D2667" i="1"/>
  <c r="B2667" i="1"/>
  <c r="A2667" i="1"/>
  <c r="G2666" i="1"/>
  <c r="F2666" i="1"/>
  <c r="E2666" i="1"/>
  <c r="D2666" i="1"/>
  <c r="B2666" i="1"/>
  <c r="A2666" i="1"/>
  <c r="G2665" i="1"/>
  <c r="F2665" i="1"/>
  <c r="E2665" i="1"/>
  <c r="D2665" i="1"/>
  <c r="B2665" i="1"/>
  <c r="A2665" i="1"/>
  <c r="G2664" i="1"/>
  <c r="F2664" i="1"/>
  <c r="E2664" i="1"/>
  <c r="D2664" i="1"/>
  <c r="B2664" i="1"/>
  <c r="A2664" i="1"/>
  <c r="G2663" i="1"/>
  <c r="F2663" i="1"/>
  <c r="E2663" i="1"/>
  <c r="D2663" i="1"/>
  <c r="B2663" i="1"/>
  <c r="A2663" i="1"/>
  <c r="G2662" i="1"/>
  <c r="F2662" i="1"/>
  <c r="E2662" i="1"/>
  <c r="D2662" i="1"/>
  <c r="B2662" i="1"/>
  <c r="A2662" i="1"/>
  <c r="G2661" i="1"/>
  <c r="F2661" i="1"/>
  <c r="E2661" i="1"/>
  <c r="D2661" i="1"/>
  <c r="B2661" i="1"/>
  <c r="A2661" i="1"/>
  <c r="G2660" i="1"/>
  <c r="F2660" i="1"/>
  <c r="E2660" i="1"/>
  <c r="D2660" i="1"/>
  <c r="B2660" i="1"/>
  <c r="A2660" i="1"/>
  <c r="G2659" i="1"/>
  <c r="F2659" i="1"/>
  <c r="E2659" i="1"/>
  <c r="D2659" i="1"/>
  <c r="B2659" i="1"/>
  <c r="A2659" i="1"/>
  <c r="G2658" i="1"/>
  <c r="F2658" i="1"/>
  <c r="E2658" i="1"/>
  <c r="D2658" i="1"/>
  <c r="B2658" i="1"/>
  <c r="A2658" i="1"/>
  <c r="G2657" i="1"/>
  <c r="F2657" i="1"/>
  <c r="E2657" i="1"/>
  <c r="D2657" i="1"/>
  <c r="B2657" i="1"/>
  <c r="A2657" i="1"/>
  <c r="G2656" i="1"/>
  <c r="F2656" i="1"/>
  <c r="E2656" i="1"/>
  <c r="D2656" i="1"/>
  <c r="B2656" i="1"/>
  <c r="A2656" i="1"/>
  <c r="G2655" i="1"/>
  <c r="F2655" i="1"/>
  <c r="E2655" i="1"/>
  <c r="D2655" i="1"/>
  <c r="B2655" i="1"/>
  <c r="A2655" i="1"/>
  <c r="G2654" i="1"/>
  <c r="F2654" i="1"/>
  <c r="E2654" i="1"/>
  <c r="D2654" i="1"/>
  <c r="B2654" i="1"/>
  <c r="A2654" i="1"/>
  <c r="G2653" i="1"/>
  <c r="F2653" i="1"/>
  <c r="E2653" i="1"/>
  <c r="D2653" i="1"/>
  <c r="B2653" i="1"/>
  <c r="A2653" i="1"/>
  <c r="G2652" i="1"/>
  <c r="F2652" i="1"/>
  <c r="E2652" i="1"/>
  <c r="D2652" i="1"/>
  <c r="B2652" i="1"/>
  <c r="A2652" i="1"/>
  <c r="G2651" i="1"/>
  <c r="F2651" i="1"/>
  <c r="E2651" i="1"/>
  <c r="D2651" i="1"/>
  <c r="B2651" i="1"/>
  <c r="A2651" i="1"/>
  <c r="G2650" i="1"/>
  <c r="F2650" i="1"/>
  <c r="E2650" i="1"/>
  <c r="D2650" i="1"/>
  <c r="B2650" i="1"/>
  <c r="A2650" i="1"/>
  <c r="G2649" i="1"/>
  <c r="F2649" i="1"/>
  <c r="E2649" i="1"/>
  <c r="D2649" i="1"/>
  <c r="B2649" i="1"/>
  <c r="A2649" i="1"/>
  <c r="G2648" i="1"/>
  <c r="F2648" i="1"/>
  <c r="E2648" i="1"/>
  <c r="D2648" i="1"/>
  <c r="B2648" i="1"/>
  <c r="A2648" i="1"/>
  <c r="G2647" i="1"/>
  <c r="F2647" i="1"/>
  <c r="E2647" i="1"/>
  <c r="D2647" i="1"/>
  <c r="B2647" i="1"/>
  <c r="A2647" i="1"/>
  <c r="G2646" i="1"/>
  <c r="F2646" i="1"/>
  <c r="E2646" i="1"/>
  <c r="D2646" i="1"/>
  <c r="B2646" i="1"/>
  <c r="A2646" i="1"/>
  <c r="G2645" i="1"/>
  <c r="F2645" i="1"/>
  <c r="E2645" i="1"/>
  <c r="D2645" i="1"/>
  <c r="B2645" i="1"/>
  <c r="A2645" i="1"/>
  <c r="G2644" i="1"/>
  <c r="F2644" i="1"/>
  <c r="E2644" i="1"/>
  <c r="D2644" i="1"/>
  <c r="B2644" i="1"/>
  <c r="A2644" i="1"/>
  <c r="G2643" i="1"/>
  <c r="F2643" i="1"/>
  <c r="E2643" i="1"/>
  <c r="D2643" i="1"/>
  <c r="B2643" i="1"/>
  <c r="A2643" i="1"/>
  <c r="G2642" i="1"/>
  <c r="F2642" i="1"/>
  <c r="E2642" i="1"/>
  <c r="D2642" i="1"/>
  <c r="B2642" i="1"/>
  <c r="A2642" i="1"/>
  <c r="G2641" i="1"/>
  <c r="F2641" i="1"/>
  <c r="E2641" i="1"/>
  <c r="D2641" i="1"/>
  <c r="B2641" i="1"/>
  <c r="A2641" i="1"/>
  <c r="G2640" i="1"/>
  <c r="F2640" i="1"/>
  <c r="E2640" i="1"/>
  <c r="D2640" i="1"/>
  <c r="B2640" i="1"/>
  <c r="A2640" i="1"/>
  <c r="G2639" i="1"/>
  <c r="F2639" i="1"/>
  <c r="E2639" i="1"/>
  <c r="D2639" i="1"/>
  <c r="B2639" i="1"/>
  <c r="A2639" i="1"/>
  <c r="G2638" i="1"/>
  <c r="F2638" i="1"/>
  <c r="E2638" i="1"/>
  <c r="D2638" i="1"/>
  <c r="B2638" i="1"/>
  <c r="A2638" i="1"/>
  <c r="G2637" i="1"/>
  <c r="F2637" i="1"/>
  <c r="E2637" i="1"/>
  <c r="D2637" i="1"/>
  <c r="B2637" i="1"/>
  <c r="A2637" i="1"/>
  <c r="G2636" i="1"/>
  <c r="F2636" i="1"/>
  <c r="E2636" i="1"/>
  <c r="D2636" i="1"/>
  <c r="B2636" i="1"/>
  <c r="A2636" i="1"/>
  <c r="G2635" i="1"/>
  <c r="F2635" i="1"/>
  <c r="E2635" i="1"/>
  <c r="D2635" i="1"/>
  <c r="B2635" i="1"/>
  <c r="A2635" i="1"/>
  <c r="G2634" i="1"/>
  <c r="F2634" i="1"/>
  <c r="E2634" i="1"/>
  <c r="D2634" i="1"/>
  <c r="B2634" i="1"/>
  <c r="A2634" i="1"/>
  <c r="G2633" i="1"/>
  <c r="F2633" i="1"/>
  <c r="E2633" i="1"/>
  <c r="D2633" i="1"/>
  <c r="B2633" i="1"/>
  <c r="A2633" i="1"/>
  <c r="G2632" i="1"/>
  <c r="F2632" i="1"/>
  <c r="E2632" i="1"/>
  <c r="D2632" i="1"/>
  <c r="B2632" i="1"/>
  <c r="A2632" i="1"/>
  <c r="G2631" i="1"/>
  <c r="F2631" i="1"/>
  <c r="E2631" i="1"/>
  <c r="D2631" i="1"/>
  <c r="B2631" i="1"/>
  <c r="A2631" i="1"/>
  <c r="G2630" i="1"/>
  <c r="F2630" i="1"/>
  <c r="E2630" i="1"/>
  <c r="D2630" i="1"/>
  <c r="B2630" i="1"/>
  <c r="A2630" i="1"/>
  <c r="G2629" i="1"/>
  <c r="F2629" i="1"/>
  <c r="E2629" i="1"/>
  <c r="D2629" i="1"/>
  <c r="B2629" i="1"/>
  <c r="A2629" i="1"/>
  <c r="G2628" i="1"/>
  <c r="F2628" i="1"/>
  <c r="E2628" i="1"/>
  <c r="D2628" i="1"/>
  <c r="B2628" i="1"/>
  <c r="A2628" i="1"/>
  <c r="G2627" i="1"/>
  <c r="F2627" i="1"/>
  <c r="E2627" i="1"/>
  <c r="D2627" i="1"/>
  <c r="B2627" i="1"/>
  <c r="A2627" i="1"/>
  <c r="G2626" i="1"/>
  <c r="F2626" i="1"/>
  <c r="E2626" i="1"/>
  <c r="D2626" i="1"/>
  <c r="B2626" i="1"/>
  <c r="A2626" i="1"/>
  <c r="G2625" i="1"/>
  <c r="F2625" i="1"/>
  <c r="E2625" i="1"/>
  <c r="D2625" i="1"/>
  <c r="B2625" i="1"/>
  <c r="A2625" i="1"/>
  <c r="G2624" i="1"/>
  <c r="F2624" i="1"/>
  <c r="E2624" i="1"/>
  <c r="D2624" i="1"/>
  <c r="B2624" i="1"/>
  <c r="A2624" i="1"/>
  <c r="G2623" i="1"/>
  <c r="F2623" i="1"/>
  <c r="E2623" i="1"/>
  <c r="D2623" i="1"/>
  <c r="B2623" i="1"/>
  <c r="A2623" i="1"/>
  <c r="G2622" i="1"/>
  <c r="F2622" i="1"/>
  <c r="E2622" i="1"/>
  <c r="D2622" i="1"/>
  <c r="B2622" i="1"/>
  <c r="A2622" i="1"/>
  <c r="G2621" i="1"/>
  <c r="F2621" i="1"/>
  <c r="E2621" i="1"/>
  <c r="D2621" i="1"/>
  <c r="B2621" i="1"/>
  <c r="A2621" i="1"/>
  <c r="G2620" i="1"/>
  <c r="F2620" i="1"/>
  <c r="E2620" i="1"/>
  <c r="D2620" i="1"/>
  <c r="B2620" i="1"/>
  <c r="A2620" i="1"/>
  <c r="G2619" i="1"/>
  <c r="F2619" i="1"/>
  <c r="E2619" i="1"/>
  <c r="D2619" i="1"/>
  <c r="B2619" i="1"/>
  <c r="A2619" i="1"/>
  <c r="G2618" i="1"/>
  <c r="F2618" i="1"/>
  <c r="E2618" i="1"/>
  <c r="D2618" i="1"/>
  <c r="B2618" i="1"/>
  <c r="G2617" i="1"/>
  <c r="F2617" i="1"/>
  <c r="E2617" i="1"/>
  <c r="D2617" i="1"/>
  <c r="B2617" i="1"/>
  <c r="A2617" i="1"/>
  <c r="G2616" i="1"/>
  <c r="F2616" i="1"/>
  <c r="E2616" i="1"/>
  <c r="D2616" i="1"/>
  <c r="B2616" i="1"/>
  <c r="A2616" i="1"/>
  <c r="G2615" i="1"/>
  <c r="F2615" i="1"/>
  <c r="E2615" i="1"/>
  <c r="D2615" i="1"/>
  <c r="B2615" i="1"/>
  <c r="A2615" i="1"/>
  <c r="G2614" i="1"/>
  <c r="F2614" i="1"/>
  <c r="E2614" i="1"/>
  <c r="D2614" i="1"/>
  <c r="B2614" i="1"/>
  <c r="A2614" i="1"/>
  <c r="G2613" i="1"/>
  <c r="F2613" i="1"/>
  <c r="E2613" i="1"/>
  <c r="D2613" i="1"/>
  <c r="B2613" i="1"/>
  <c r="A2613" i="1"/>
  <c r="G2612" i="1"/>
  <c r="F2612" i="1"/>
  <c r="E2612" i="1"/>
  <c r="D2612" i="1"/>
  <c r="B2612" i="1"/>
  <c r="A2612" i="1"/>
  <c r="G2611" i="1"/>
  <c r="F2611" i="1"/>
  <c r="E2611" i="1"/>
  <c r="D2611" i="1"/>
  <c r="B2611" i="1"/>
  <c r="A2611" i="1"/>
  <c r="G2610" i="1"/>
  <c r="F2610" i="1"/>
  <c r="E2610" i="1"/>
  <c r="D2610" i="1"/>
  <c r="B2610" i="1"/>
  <c r="A2610" i="1"/>
  <c r="G2609" i="1"/>
  <c r="F2609" i="1"/>
  <c r="E2609" i="1"/>
  <c r="D2609" i="1"/>
  <c r="B2609" i="1"/>
  <c r="A2609" i="1"/>
  <c r="G2608" i="1"/>
  <c r="F2608" i="1"/>
  <c r="E2608" i="1"/>
  <c r="D2608" i="1"/>
  <c r="B2608" i="1"/>
  <c r="A2608" i="1"/>
  <c r="G2607" i="1"/>
  <c r="F2607" i="1"/>
  <c r="E2607" i="1"/>
  <c r="D2607" i="1"/>
  <c r="B2607" i="1"/>
  <c r="A2607" i="1"/>
  <c r="G2606" i="1"/>
  <c r="F2606" i="1"/>
  <c r="E2606" i="1"/>
  <c r="D2606" i="1"/>
  <c r="B2606" i="1"/>
  <c r="A2606" i="1"/>
  <c r="G2605" i="1"/>
  <c r="F2605" i="1"/>
  <c r="E2605" i="1"/>
  <c r="D2605" i="1"/>
  <c r="B2605" i="1"/>
  <c r="A2605" i="1"/>
  <c r="G2604" i="1"/>
  <c r="F2604" i="1"/>
  <c r="E2604" i="1"/>
  <c r="D2604" i="1"/>
  <c r="B2604" i="1"/>
  <c r="A2604" i="1"/>
  <c r="G2603" i="1"/>
  <c r="F2603" i="1"/>
  <c r="E2603" i="1"/>
  <c r="D2603" i="1"/>
  <c r="B2603" i="1"/>
  <c r="A2603" i="1"/>
  <c r="G2602" i="1"/>
  <c r="F2602" i="1"/>
  <c r="E2602" i="1"/>
  <c r="D2602" i="1"/>
  <c r="B2602" i="1"/>
  <c r="A2602" i="1"/>
  <c r="G2601" i="1"/>
  <c r="F2601" i="1"/>
  <c r="E2601" i="1"/>
  <c r="D2601" i="1"/>
  <c r="B2601" i="1"/>
  <c r="A2601" i="1"/>
  <c r="G2600" i="1"/>
  <c r="F2600" i="1"/>
  <c r="E2600" i="1"/>
  <c r="D2600" i="1"/>
  <c r="B2600" i="1"/>
  <c r="A2600" i="1"/>
  <c r="G2599" i="1"/>
  <c r="F2599" i="1"/>
  <c r="E2599" i="1"/>
  <c r="D2599" i="1"/>
  <c r="B2599" i="1"/>
  <c r="A2599" i="1"/>
  <c r="G2598" i="1"/>
  <c r="F2598" i="1"/>
  <c r="E2598" i="1"/>
  <c r="D2598" i="1"/>
  <c r="B2598" i="1"/>
  <c r="A2598" i="1"/>
  <c r="G2597" i="1"/>
  <c r="F2597" i="1"/>
  <c r="E2597" i="1"/>
  <c r="D2597" i="1"/>
  <c r="B2597" i="1"/>
  <c r="A2597" i="1"/>
  <c r="G2596" i="1"/>
  <c r="F2596" i="1"/>
  <c r="E2596" i="1"/>
  <c r="D2596" i="1"/>
  <c r="B2596" i="1"/>
  <c r="A2596" i="1"/>
  <c r="G2591" i="1"/>
  <c r="F2591" i="1"/>
  <c r="E2591" i="1"/>
  <c r="D2591" i="1"/>
  <c r="B2591" i="1"/>
  <c r="A2591" i="1"/>
  <c r="G2590" i="1"/>
  <c r="F2590" i="1"/>
  <c r="E2590" i="1"/>
  <c r="D2590" i="1"/>
  <c r="B2590" i="1"/>
  <c r="A2590" i="1"/>
  <c r="G2589" i="1"/>
  <c r="F2589" i="1"/>
  <c r="E2589" i="1"/>
  <c r="D2589" i="1"/>
  <c r="B2589" i="1"/>
  <c r="A2589" i="1"/>
  <c r="G2588" i="1"/>
  <c r="F2588" i="1"/>
  <c r="E2588" i="1"/>
  <c r="D2588" i="1"/>
  <c r="B2588" i="1"/>
  <c r="A2588" i="1"/>
  <c r="G2587" i="1"/>
  <c r="F2587" i="1"/>
  <c r="E2587" i="1"/>
  <c r="D2587" i="1"/>
  <c r="B2587" i="1"/>
  <c r="A2587" i="1"/>
  <c r="G2586" i="1"/>
  <c r="F2586" i="1"/>
  <c r="E2586" i="1"/>
  <c r="D2586" i="1"/>
  <c r="B2586" i="1"/>
  <c r="A2586" i="1"/>
  <c r="G2585" i="1"/>
  <c r="F2585" i="1"/>
  <c r="E2585" i="1"/>
  <c r="D2585" i="1"/>
  <c r="B2585" i="1"/>
  <c r="A2585" i="1"/>
  <c r="G2584" i="1"/>
  <c r="F2584" i="1"/>
  <c r="E2584" i="1"/>
  <c r="D2584" i="1"/>
  <c r="B2584" i="1"/>
  <c r="A2584" i="1"/>
  <c r="G2583" i="1"/>
  <c r="F2583" i="1"/>
  <c r="E2583" i="1"/>
  <c r="D2583" i="1"/>
  <c r="B2583" i="1"/>
  <c r="A2583" i="1"/>
  <c r="G2582" i="1"/>
  <c r="F2582" i="1"/>
  <c r="E2582" i="1"/>
  <c r="D2582" i="1"/>
  <c r="B2582" i="1"/>
  <c r="A2582" i="1"/>
  <c r="G2581" i="1"/>
  <c r="F2581" i="1"/>
  <c r="E2581" i="1"/>
  <c r="D2581" i="1"/>
  <c r="B2581" i="1"/>
  <c r="A2581" i="1"/>
  <c r="G2580" i="1"/>
  <c r="F2580" i="1"/>
  <c r="E2580" i="1"/>
  <c r="D2580" i="1"/>
  <c r="B2580" i="1"/>
  <c r="A2580" i="1"/>
  <c r="G2579" i="1"/>
  <c r="F2579" i="1"/>
  <c r="E2579" i="1"/>
  <c r="D2579" i="1"/>
  <c r="B2579" i="1"/>
  <c r="A2579" i="1"/>
  <c r="G2578" i="1"/>
  <c r="F2578" i="1"/>
  <c r="E2578" i="1"/>
  <c r="D2578" i="1"/>
  <c r="B2578" i="1"/>
  <c r="A2578" i="1"/>
  <c r="G2577" i="1"/>
  <c r="F2577" i="1"/>
  <c r="E2577" i="1"/>
  <c r="D2577" i="1"/>
  <c r="B2577" i="1"/>
  <c r="A2577" i="1"/>
  <c r="G2576" i="1"/>
  <c r="F2576" i="1"/>
  <c r="E2576" i="1"/>
  <c r="D2576" i="1"/>
  <c r="B2576" i="1"/>
  <c r="A2576" i="1"/>
  <c r="G2575" i="1"/>
  <c r="F2575" i="1"/>
  <c r="E2575" i="1"/>
  <c r="D2575" i="1"/>
  <c r="B2575" i="1"/>
  <c r="A2575" i="1"/>
  <c r="G2574" i="1"/>
  <c r="F2574" i="1"/>
  <c r="E2574" i="1"/>
  <c r="D2574" i="1"/>
  <c r="B2574" i="1"/>
  <c r="A2574" i="1"/>
  <c r="G2573" i="1"/>
  <c r="F2573" i="1"/>
  <c r="E2573" i="1"/>
  <c r="D2573" i="1"/>
  <c r="B2573" i="1"/>
  <c r="A2573" i="1"/>
  <c r="G2572" i="1"/>
  <c r="F2572" i="1"/>
  <c r="E2572" i="1"/>
  <c r="D2572" i="1"/>
  <c r="B2572" i="1"/>
  <c r="A2572" i="1"/>
  <c r="G2571" i="1"/>
  <c r="F2571" i="1"/>
  <c r="E2571" i="1"/>
  <c r="D2571" i="1"/>
  <c r="B2571" i="1"/>
  <c r="A2571" i="1"/>
  <c r="G2570" i="1"/>
  <c r="F2570" i="1"/>
  <c r="E2570" i="1"/>
  <c r="D2570" i="1"/>
  <c r="B2570" i="1"/>
  <c r="A2570" i="1"/>
  <c r="G2569" i="1"/>
  <c r="F2569" i="1"/>
  <c r="E2569" i="1"/>
  <c r="D2569" i="1"/>
  <c r="B2569" i="1"/>
  <c r="A2569" i="1"/>
  <c r="G2568" i="1"/>
  <c r="F2568" i="1"/>
  <c r="E2568" i="1"/>
  <c r="D2568" i="1"/>
  <c r="B2568" i="1"/>
  <c r="A2568" i="1"/>
  <c r="G2567" i="1"/>
  <c r="F2567" i="1"/>
  <c r="E2567" i="1"/>
  <c r="D2567" i="1"/>
  <c r="B2567" i="1"/>
  <c r="A2567" i="1"/>
  <c r="G2566" i="1"/>
  <c r="F2566" i="1"/>
  <c r="E2566" i="1"/>
  <c r="D2566" i="1"/>
  <c r="B2566" i="1"/>
  <c r="A2566" i="1"/>
  <c r="G2565" i="1"/>
  <c r="F2565" i="1"/>
  <c r="E2565" i="1"/>
  <c r="D2565" i="1"/>
  <c r="B2565" i="1"/>
  <c r="A2565" i="1"/>
  <c r="G2564" i="1"/>
  <c r="F2564" i="1"/>
  <c r="E2564" i="1"/>
  <c r="D2564" i="1"/>
  <c r="B2564" i="1"/>
  <c r="A2564" i="1"/>
  <c r="G2563" i="1"/>
  <c r="F2563" i="1"/>
  <c r="E2563" i="1"/>
  <c r="D2563" i="1"/>
  <c r="B2563" i="1"/>
  <c r="A2563" i="1"/>
  <c r="G2562" i="1"/>
  <c r="F2562" i="1"/>
  <c r="E2562" i="1"/>
  <c r="D2562" i="1"/>
  <c r="B2562" i="1"/>
  <c r="A2562" i="1"/>
  <c r="G2561" i="1"/>
  <c r="F2561" i="1"/>
  <c r="E2561" i="1"/>
  <c r="D2561" i="1"/>
  <c r="B2561" i="1"/>
  <c r="A2561" i="1"/>
  <c r="G2560" i="1"/>
  <c r="F2560" i="1"/>
  <c r="E2560" i="1"/>
  <c r="D2560" i="1"/>
  <c r="B2560" i="1"/>
  <c r="A2560" i="1"/>
  <c r="G2559" i="1"/>
  <c r="F2559" i="1"/>
  <c r="E2559" i="1"/>
  <c r="D2559" i="1"/>
  <c r="B2559" i="1"/>
  <c r="A2559" i="1"/>
  <c r="G2558" i="1"/>
  <c r="F2558" i="1"/>
  <c r="E2558" i="1"/>
  <c r="D2558" i="1"/>
  <c r="B2558" i="1"/>
  <c r="A2558" i="1"/>
  <c r="G2557" i="1"/>
  <c r="F2557" i="1"/>
  <c r="E2557" i="1"/>
  <c r="D2557" i="1"/>
  <c r="B2557" i="1"/>
  <c r="A2557" i="1"/>
  <c r="G2556" i="1"/>
  <c r="F2556" i="1"/>
  <c r="E2556" i="1"/>
  <c r="D2556" i="1"/>
  <c r="B2556" i="1"/>
  <c r="A2556" i="1"/>
  <c r="G2555" i="1"/>
  <c r="F2555" i="1"/>
  <c r="E2555" i="1"/>
  <c r="D2555" i="1"/>
  <c r="B2555" i="1"/>
  <c r="A2555" i="1"/>
  <c r="G2554" i="1"/>
  <c r="F2554" i="1"/>
  <c r="E2554" i="1"/>
  <c r="D2554" i="1"/>
  <c r="B2554" i="1"/>
  <c r="A2554" i="1"/>
  <c r="G2553" i="1"/>
  <c r="F2553" i="1"/>
  <c r="E2553" i="1"/>
  <c r="D2553" i="1"/>
  <c r="B2553" i="1"/>
  <c r="A2553" i="1"/>
  <c r="G2552" i="1"/>
  <c r="F2552" i="1"/>
  <c r="E2552" i="1"/>
  <c r="D2552" i="1"/>
  <c r="B2552" i="1"/>
  <c r="A2552" i="1"/>
  <c r="G2551" i="1"/>
  <c r="F2551" i="1"/>
  <c r="E2551" i="1"/>
  <c r="D2551" i="1"/>
  <c r="B2551" i="1"/>
  <c r="A2551" i="1"/>
  <c r="G2550" i="1"/>
  <c r="F2550" i="1"/>
  <c r="E2550" i="1"/>
  <c r="D2550" i="1"/>
  <c r="B2550" i="1"/>
  <c r="A2550" i="1"/>
  <c r="G2549" i="1"/>
  <c r="F2549" i="1"/>
  <c r="E2549" i="1"/>
  <c r="D2549" i="1"/>
  <c r="B2549" i="1"/>
  <c r="A2549" i="1"/>
  <c r="G2548" i="1"/>
  <c r="F2548" i="1"/>
  <c r="E2548" i="1"/>
  <c r="D2548" i="1"/>
  <c r="B2548" i="1"/>
  <c r="A2548" i="1"/>
  <c r="G2547" i="1"/>
  <c r="F2547" i="1"/>
  <c r="E2547" i="1"/>
  <c r="D2547" i="1"/>
  <c r="B2547" i="1"/>
  <c r="A2547" i="1"/>
  <c r="G2546" i="1"/>
  <c r="F2546" i="1"/>
  <c r="E2546" i="1"/>
  <c r="D2546" i="1"/>
  <c r="B2546" i="1"/>
  <c r="A2546" i="1"/>
  <c r="G2545" i="1"/>
  <c r="F2545" i="1"/>
  <c r="E2545" i="1"/>
  <c r="D2545" i="1"/>
  <c r="B2545" i="1"/>
  <c r="A2545" i="1"/>
  <c r="G2544" i="1"/>
  <c r="F2544" i="1"/>
  <c r="E2544" i="1"/>
  <c r="D2544" i="1"/>
  <c r="B2544" i="1"/>
  <c r="A2544" i="1"/>
  <c r="G2543" i="1"/>
  <c r="F2543" i="1"/>
  <c r="E2543" i="1"/>
  <c r="D2543" i="1"/>
  <c r="B2543" i="1"/>
  <c r="A2543" i="1"/>
  <c r="G2542" i="1"/>
  <c r="F2542" i="1"/>
  <c r="E2542" i="1"/>
  <c r="D2542" i="1"/>
  <c r="B2542" i="1"/>
  <c r="A2542" i="1"/>
  <c r="G2541" i="1"/>
  <c r="F2541" i="1"/>
  <c r="E2541" i="1"/>
  <c r="D2541" i="1"/>
  <c r="B2541" i="1"/>
  <c r="A2541" i="1"/>
  <c r="G2540" i="1"/>
  <c r="F2540" i="1"/>
  <c r="E2540" i="1"/>
  <c r="D2540" i="1"/>
  <c r="B2540" i="1"/>
  <c r="A2540" i="1"/>
  <c r="G2539" i="1"/>
  <c r="F2539" i="1"/>
  <c r="E2539" i="1"/>
  <c r="D2539" i="1"/>
  <c r="B2539" i="1"/>
  <c r="A2539" i="1"/>
  <c r="G2538" i="1"/>
  <c r="F2538" i="1"/>
  <c r="E2538" i="1"/>
  <c r="D2538" i="1"/>
  <c r="B2538" i="1"/>
  <c r="A2538" i="1"/>
  <c r="G2537" i="1"/>
  <c r="F2537" i="1"/>
  <c r="E2537" i="1"/>
  <c r="D2537" i="1"/>
  <c r="B2537" i="1"/>
  <c r="A2537" i="1"/>
  <c r="G2536" i="1"/>
  <c r="F2536" i="1"/>
  <c r="E2536" i="1"/>
  <c r="D2536" i="1"/>
  <c r="B2536" i="1"/>
  <c r="A2536" i="1"/>
  <c r="G2535" i="1"/>
  <c r="F2535" i="1"/>
  <c r="E2535" i="1"/>
  <c r="D2535" i="1"/>
  <c r="B2535" i="1"/>
  <c r="A2535" i="1"/>
  <c r="G2534" i="1"/>
  <c r="F2534" i="1"/>
  <c r="E2534" i="1"/>
  <c r="D2534" i="1"/>
  <c r="B2534" i="1"/>
  <c r="A2534" i="1"/>
  <c r="G2533" i="1"/>
  <c r="F2533" i="1"/>
  <c r="E2533" i="1"/>
  <c r="D2533" i="1"/>
  <c r="B2533" i="1"/>
  <c r="A2533" i="1"/>
  <c r="G2532" i="1"/>
  <c r="F2532" i="1"/>
  <c r="E2532" i="1"/>
  <c r="D2532" i="1"/>
  <c r="B2532" i="1"/>
  <c r="A2532" i="1"/>
  <c r="G2531" i="1"/>
  <c r="F2531" i="1"/>
  <c r="E2531" i="1"/>
  <c r="D2531" i="1"/>
  <c r="B2531" i="1"/>
  <c r="A2531" i="1"/>
  <c r="G2530" i="1"/>
  <c r="F2530" i="1"/>
  <c r="E2530" i="1"/>
  <c r="D2530" i="1"/>
  <c r="B2530" i="1"/>
  <c r="A2530" i="1"/>
  <c r="G2529" i="1"/>
  <c r="F2529" i="1"/>
  <c r="E2529" i="1"/>
  <c r="D2529" i="1"/>
  <c r="B2529" i="1"/>
  <c r="A2529" i="1"/>
  <c r="G2528" i="1"/>
  <c r="F2528" i="1"/>
  <c r="E2528" i="1"/>
  <c r="D2528" i="1"/>
  <c r="B2528" i="1"/>
  <c r="A2528" i="1"/>
  <c r="G2527" i="1"/>
  <c r="F2527" i="1"/>
  <c r="E2527" i="1"/>
  <c r="D2527" i="1"/>
  <c r="B2527" i="1"/>
  <c r="A2527" i="1"/>
  <c r="G2526" i="1"/>
  <c r="F2526" i="1"/>
  <c r="E2526" i="1"/>
  <c r="D2526" i="1"/>
  <c r="B2526" i="1"/>
  <c r="A2526" i="1"/>
  <c r="G2525" i="1"/>
  <c r="F2525" i="1"/>
  <c r="E2525" i="1"/>
  <c r="D2525" i="1"/>
  <c r="B2525" i="1"/>
  <c r="A2525" i="1"/>
  <c r="G2524" i="1"/>
  <c r="F2524" i="1"/>
  <c r="E2524" i="1"/>
  <c r="D2524" i="1"/>
  <c r="B2524" i="1"/>
  <c r="A2524" i="1"/>
  <c r="G2523" i="1"/>
  <c r="F2523" i="1"/>
  <c r="E2523" i="1"/>
  <c r="D2523" i="1"/>
  <c r="B2523" i="1"/>
  <c r="A2523" i="1"/>
  <c r="G2522" i="1"/>
  <c r="F2522" i="1"/>
  <c r="E2522" i="1"/>
  <c r="D2522" i="1"/>
  <c r="B2522" i="1"/>
  <c r="A2522" i="1"/>
  <c r="G2521" i="1"/>
  <c r="F2521" i="1"/>
  <c r="E2521" i="1"/>
  <c r="D2521" i="1"/>
  <c r="B2521" i="1"/>
  <c r="A2521" i="1"/>
  <c r="G2520" i="1"/>
  <c r="F2520" i="1"/>
  <c r="E2520" i="1"/>
  <c r="D2520" i="1"/>
  <c r="B2520" i="1"/>
  <c r="A2520" i="1"/>
  <c r="G2519" i="1"/>
  <c r="F2519" i="1"/>
  <c r="E2519" i="1"/>
  <c r="D2519" i="1"/>
  <c r="B2519" i="1"/>
  <c r="A2519" i="1"/>
  <c r="G2518" i="1"/>
  <c r="F2518" i="1"/>
  <c r="E2518" i="1"/>
  <c r="D2518" i="1"/>
  <c r="B2518" i="1"/>
  <c r="A2518" i="1"/>
  <c r="G2517" i="1"/>
  <c r="F2517" i="1"/>
  <c r="E2517" i="1"/>
  <c r="D2517" i="1"/>
  <c r="B2517" i="1"/>
  <c r="A2517" i="1"/>
  <c r="G2516" i="1"/>
  <c r="F2516" i="1"/>
  <c r="E2516" i="1"/>
  <c r="D2516" i="1"/>
  <c r="B2516" i="1"/>
  <c r="A2516" i="1"/>
  <c r="G2515" i="1"/>
  <c r="F2515" i="1"/>
  <c r="E2515" i="1"/>
  <c r="D2515" i="1"/>
  <c r="B2515" i="1"/>
  <c r="A2515" i="1"/>
  <c r="G2514" i="1"/>
  <c r="F2514" i="1"/>
  <c r="E2514" i="1"/>
  <c r="D2514" i="1"/>
  <c r="B2514" i="1"/>
  <c r="A2514" i="1"/>
  <c r="G2513" i="1"/>
  <c r="F2513" i="1"/>
  <c r="E2513" i="1"/>
  <c r="D2513" i="1"/>
  <c r="B2513" i="1"/>
  <c r="A2513" i="1"/>
  <c r="G2512" i="1"/>
  <c r="F2512" i="1"/>
  <c r="E2512" i="1"/>
  <c r="D2512" i="1"/>
  <c r="B2512" i="1"/>
  <c r="A2512" i="1"/>
  <c r="G2511" i="1"/>
  <c r="F2511" i="1"/>
  <c r="E2511" i="1"/>
  <c r="D2511" i="1"/>
  <c r="B2511" i="1"/>
  <c r="A2511" i="1"/>
  <c r="G2510" i="1"/>
  <c r="F2510" i="1"/>
  <c r="E2510" i="1"/>
  <c r="D2510" i="1"/>
  <c r="B2510" i="1"/>
  <c r="A2510" i="1"/>
  <c r="G2509" i="1"/>
  <c r="F2509" i="1"/>
  <c r="E2509" i="1"/>
  <c r="D2509" i="1"/>
  <c r="B2509" i="1"/>
  <c r="A2509" i="1"/>
  <c r="G2508" i="1"/>
  <c r="F2508" i="1"/>
  <c r="E2508" i="1"/>
  <c r="D2508" i="1"/>
  <c r="B2508" i="1"/>
  <c r="A2508" i="1"/>
  <c r="G2507" i="1"/>
  <c r="F2507" i="1"/>
  <c r="E2507" i="1"/>
  <c r="D2507" i="1"/>
  <c r="B2507" i="1"/>
  <c r="A2507" i="1"/>
  <c r="G2506" i="1"/>
  <c r="F2506" i="1"/>
  <c r="E2506" i="1"/>
  <c r="D2506" i="1"/>
  <c r="B2506" i="1"/>
  <c r="A2506" i="1"/>
  <c r="G2505" i="1"/>
  <c r="F2505" i="1"/>
  <c r="E2505" i="1"/>
  <c r="D2505" i="1"/>
  <c r="B2505" i="1"/>
  <c r="A2505" i="1"/>
  <c r="G2504" i="1"/>
  <c r="F2504" i="1"/>
  <c r="E2504" i="1"/>
  <c r="D2504" i="1"/>
  <c r="B2504" i="1"/>
  <c r="A2504" i="1"/>
  <c r="G2503" i="1"/>
  <c r="F2503" i="1"/>
  <c r="E2503" i="1"/>
  <c r="D2503" i="1"/>
  <c r="B2503" i="1"/>
  <c r="A2503" i="1"/>
  <c r="G2502" i="1"/>
  <c r="F2502" i="1"/>
  <c r="E2502" i="1"/>
  <c r="D2502" i="1"/>
  <c r="B2502" i="1"/>
  <c r="A2502" i="1"/>
  <c r="G2501" i="1"/>
  <c r="F2501" i="1"/>
  <c r="E2501" i="1"/>
  <c r="D2501" i="1"/>
  <c r="B2501" i="1"/>
  <c r="A2501" i="1"/>
  <c r="G2500" i="1"/>
  <c r="F2500" i="1"/>
  <c r="E2500" i="1"/>
  <c r="D2500" i="1"/>
  <c r="B2500" i="1"/>
  <c r="A2500" i="1"/>
  <c r="G2499" i="1"/>
  <c r="F2499" i="1"/>
  <c r="E2499" i="1"/>
  <c r="D2499" i="1"/>
  <c r="B2499" i="1"/>
  <c r="A2499" i="1"/>
  <c r="G2498" i="1"/>
  <c r="F2498" i="1"/>
  <c r="E2498" i="1"/>
  <c r="D2498" i="1"/>
  <c r="B2498" i="1"/>
  <c r="A2498" i="1"/>
  <c r="G2497" i="1"/>
  <c r="F2497" i="1"/>
  <c r="E2497" i="1"/>
  <c r="D2497" i="1"/>
  <c r="B2497" i="1"/>
  <c r="A2497" i="1"/>
  <c r="G2496" i="1"/>
  <c r="F2496" i="1"/>
  <c r="E2496" i="1"/>
  <c r="D2496" i="1"/>
  <c r="B2496" i="1"/>
  <c r="A2496" i="1"/>
  <c r="G2495" i="1"/>
  <c r="F2495" i="1"/>
  <c r="E2495" i="1"/>
  <c r="D2495" i="1"/>
  <c r="B2495" i="1"/>
  <c r="A2495" i="1"/>
  <c r="G2494" i="1"/>
  <c r="F2494" i="1"/>
  <c r="E2494" i="1"/>
  <c r="D2494" i="1"/>
  <c r="B2494" i="1"/>
  <c r="A2494" i="1"/>
  <c r="G2493" i="1"/>
  <c r="F2493" i="1"/>
  <c r="E2493" i="1"/>
  <c r="D2493" i="1"/>
  <c r="B2493" i="1"/>
  <c r="A2493" i="1"/>
  <c r="G2492" i="1"/>
  <c r="F2492" i="1"/>
  <c r="E2492" i="1"/>
  <c r="D2492" i="1"/>
  <c r="B2492" i="1"/>
  <c r="A2492" i="1"/>
  <c r="G2491" i="1"/>
  <c r="F2491" i="1"/>
  <c r="E2491" i="1"/>
  <c r="D2491" i="1"/>
  <c r="B2491" i="1"/>
  <c r="A2491" i="1"/>
  <c r="G2490" i="1"/>
  <c r="F2490" i="1"/>
  <c r="E2490" i="1"/>
  <c r="D2490" i="1"/>
  <c r="B2490" i="1"/>
  <c r="A2490" i="1"/>
  <c r="G2489" i="1"/>
  <c r="F2489" i="1"/>
  <c r="E2489" i="1"/>
  <c r="D2489" i="1"/>
  <c r="B2489" i="1"/>
  <c r="A2489" i="1"/>
  <c r="G2488" i="1"/>
  <c r="F2488" i="1"/>
  <c r="E2488" i="1"/>
  <c r="D2488" i="1"/>
  <c r="B2488" i="1"/>
  <c r="A2488" i="1"/>
  <c r="G2487" i="1"/>
  <c r="F2487" i="1"/>
  <c r="E2487" i="1"/>
  <c r="D2487" i="1"/>
  <c r="B2487" i="1"/>
  <c r="A2487" i="1"/>
  <c r="G2486" i="1"/>
  <c r="F2486" i="1"/>
  <c r="E2486" i="1"/>
  <c r="D2486" i="1"/>
  <c r="B2486" i="1"/>
  <c r="A2486" i="1"/>
  <c r="G2485" i="1"/>
  <c r="F2485" i="1"/>
  <c r="E2485" i="1"/>
  <c r="D2485" i="1"/>
  <c r="B2485" i="1"/>
  <c r="A2485" i="1"/>
  <c r="G2484" i="1"/>
  <c r="F2484" i="1"/>
  <c r="E2484" i="1"/>
  <c r="D2484" i="1"/>
  <c r="B2484" i="1"/>
  <c r="A2484" i="1"/>
  <c r="G2483" i="1"/>
  <c r="F2483" i="1"/>
  <c r="E2483" i="1"/>
  <c r="D2483" i="1"/>
  <c r="B2483" i="1"/>
  <c r="A2483" i="1"/>
  <c r="G2482" i="1"/>
  <c r="F2482" i="1"/>
  <c r="E2482" i="1"/>
  <c r="D2482" i="1"/>
  <c r="B2482" i="1"/>
  <c r="A2482" i="1"/>
  <c r="G2481" i="1"/>
  <c r="F2481" i="1"/>
  <c r="E2481" i="1"/>
  <c r="D2481" i="1"/>
  <c r="B2481" i="1"/>
  <c r="A2481" i="1"/>
  <c r="G2480" i="1"/>
  <c r="F2480" i="1"/>
  <c r="E2480" i="1"/>
  <c r="D2480" i="1"/>
  <c r="B2480" i="1"/>
  <c r="A2480" i="1"/>
  <c r="G2479" i="1"/>
  <c r="F2479" i="1"/>
  <c r="E2479" i="1"/>
  <c r="D2479" i="1"/>
  <c r="B2479" i="1"/>
  <c r="A2479" i="1"/>
  <c r="G2478" i="1"/>
  <c r="F2478" i="1"/>
  <c r="E2478" i="1"/>
  <c r="D2478" i="1"/>
  <c r="B2478" i="1"/>
  <c r="A2478" i="1"/>
  <c r="G2477" i="1"/>
  <c r="F2477" i="1"/>
  <c r="E2477" i="1"/>
  <c r="D2477" i="1"/>
  <c r="B2477" i="1"/>
  <c r="A2477" i="1"/>
  <c r="G2476" i="1"/>
  <c r="F2476" i="1"/>
  <c r="E2476" i="1"/>
  <c r="D2476" i="1"/>
  <c r="B2476" i="1"/>
  <c r="A2476" i="1"/>
  <c r="G2475" i="1"/>
  <c r="F2475" i="1"/>
  <c r="E2475" i="1"/>
  <c r="D2475" i="1"/>
  <c r="B2475" i="1"/>
  <c r="A2475" i="1"/>
  <c r="G2474" i="1"/>
  <c r="F2474" i="1"/>
  <c r="E2474" i="1"/>
  <c r="D2474" i="1"/>
  <c r="B2474" i="1"/>
  <c r="A2474" i="1"/>
  <c r="G2473" i="1"/>
  <c r="F2473" i="1"/>
  <c r="E2473" i="1"/>
  <c r="D2473" i="1"/>
  <c r="B2473" i="1"/>
  <c r="A2473" i="1"/>
  <c r="G2472" i="1"/>
  <c r="F2472" i="1"/>
  <c r="E2472" i="1"/>
  <c r="D2472" i="1"/>
  <c r="B2472" i="1"/>
  <c r="A2472" i="1"/>
  <c r="G2471" i="1"/>
  <c r="F2471" i="1"/>
  <c r="E2471" i="1"/>
  <c r="D2471" i="1"/>
  <c r="B2471" i="1"/>
  <c r="A2471" i="1"/>
  <c r="G2470" i="1"/>
  <c r="F2470" i="1"/>
  <c r="E2470" i="1"/>
  <c r="D2470" i="1"/>
  <c r="B2470" i="1"/>
  <c r="A2470" i="1"/>
  <c r="G2469" i="1"/>
  <c r="F2469" i="1"/>
  <c r="E2469" i="1"/>
  <c r="D2469" i="1"/>
  <c r="B2469" i="1"/>
  <c r="A2469" i="1"/>
  <c r="G2468" i="1"/>
  <c r="F2468" i="1"/>
  <c r="E2468" i="1"/>
  <c r="D2468" i="1"/>
  <c r="B2468" i="1"/>
  <c r="A2468" i="1"/>
  <c r="G2467" i="1"/>
  <c r="F2467" i="1"/>
  <c r="E2467" i="1"/>
  <c r="D2467" i="1"/>
  <c r="B2467" i="1"/>
  <c r="A2467" i="1"/>
  <c r="G2466" i="1"/>
  <c r="F2466" i="1"/>
  <c r="E2466" i="1"/>
  <c r="D2466" i="1"/>
  <c r="B2466" i="1"/>
  <c r="A2466" i="1"/>
  <c r="G2465" i="1"/>
  <c r="F2465" i="1"/>
  <c r="E2465" i="1"/>
  <c r="D2465" i="1"/>
  <c r="B2465" i="1"/>
  <c r="A2465" i="1"/>
  <c r="G2464" i="1"/>
  <c r="F2464" i="1"/>
  <c r="E2464" i="1"/>
  <c r="D2464" i="1"/>
  <c r="B2464" i="1"/>
  <c r="A2464" i="1"/>
  <c r="G2463" i="1"/>
  <c r="F2463" i="1"/>
  <c r="E2463" i="1"/>
  <c r="D2463" i="1"/>
  <c r="B2463" i="1"/>
  <c r="A2463" i="1"/>
  <c r="G2462" i="1"/>
  <c r="F2462" i="1"/>
  <c r="E2462" i="1"/>
  <c r="D2462" i="1"/>
  <c r="B2462" i="1"/>
  <c r="A2462" i="1"/>
  <c r="G2461" i="1"/>
  <c r="F2461" i="1"/>
  <c r="E2461" i="1"/>
  <c r="D2461" i="1"/>
  <c r="B2461" i="1"/>
  <c r="A2461" i="1"/>
  <c r="G2460" i="1"/>
  <c r="F2460" i="1"/>
  <c r="E2460" i="1"/>
  <c r="D2460" i="1"/>
  <c r="B2460" i="1"/>
  <c r="A2460" i="1"/>
  <c r="G2459" i="1"/>
  <c r="F2459" i="1"/>
  <c r="E2459" i="1"/>
  <c r="D2459" i="1"/>
  <c r="B2459" i="1"/>
  <c r="A2459" i="1"/>
  <c r="G2458" i="1"/>
  <c r="F2458" i="1"/>
  <c r="E2458" i="1"/>
  <c r="D2458" i="1"/>
  <c r="B2458" i="1"/>
  <c r="A2458" i="1"/>
  <c r="G2457" i="1"/>
  <c r="F2457" i="1"/>
  <c r="E2457" i="1"/>
  <c r="D2457" i="1"/>
  <c r="B2457" i="1"/>
  <c r="A2457" i="1"/>
  <c r="G2456" i="1"/>
  <c r="F2456" i="1"/>
  <c r="E2456" i="1"/>
  <c r="D2456" i="1"/>
  <c r="B2456" i="1"/>
  <c r="A2456" i="1"/>
  <c r="G2455" i="1"/>
  <c r="F2455" i="1"/>
  <c r="E2455" i="1"/>
  <c r="D2455" i="1"/>
  <c r="B2455" i="1"/>
  <c r="A2455" i="1"/>
  <c r="G2454" i="1"/>
  <c r="F2454" i="1"/>
  <c r="E2454" i="1"/>
  <c r="D2454" i="1"/>
  <c r="B2454" i="1"/>
  <c r="A2454" i="1"/>
  <c r="G2453" i="1"/>
  <c r="F2453" i="1"/>
  <c r="E2453" i="1"/>
  <c r="D2453" i="1"/>
  <c r="B2453" i="1"/>
  <c r="A2453" i="1"/>
  <c r="G2452" i="1"/>
  <c r="F2452" i="1"/>
  <c r="E2452" i="1"/>
  <c r="D2452" i="1"/>
  <c r="B2452" i="1"/>
  <c r="A2452" i="1"/>
  <c r="G2451" i="1"/>
  <c r="F2451" i="1"/>
  <c r="E2451" i="1"/>
  <c r="D2451" i="1"/>
  <c r="B2451" i="1"/>
  <c r="A2451" i="1"/>
  <c r="G2450" i="1"/>
  <c r="F2450" i="1"/>
  <c r="E2450" i="1"/>
  <c r="D2450" i="1"/>
  <c r="B2450" i="1"/>
  <c r="A2450" i="1"/>
  <c r="G2449" i="1"/>
  <c r="F2449" i="1"/>
  <c r="E2449" i="1"/>
  <c r="D2449" i="1"/>
  <c r="B2449" i="1"/>
  <c r="A2449" i="1"/>
  <c r="G2448" i="1"/>
  <c r="F2448" i="1"/>
  <c r="E2448" i="1"/>
  <c r="D2448" i="1"/>
  <c r="B2448" i="1"/>
  <c r="A2448" i="1"/>
  <c r="G2447" i="1"/>
  <c r="F2447" i="1"/>
  <c r="E2447" i="1"/>
  <c r="D2447" i="1"/>
  <c r="B2447" i="1"/>
  <c r="A2447" i="1"/>
  <c r="G2446" i="1"/>
  <c r="F2446" i="1"/>
  <c r="E2446" i="1"/>
  <c r="D2446" i="1"/>
  <c r="B2446" i="1"/>
  <c r="A2446" i="1"/>
  <c r="G2445" i="1"/>
  <c r="F2445" i="1"/>
  <c r="E2445" i="1"/>
  <c r="D2445" i="1"/>
  <c r="B2445" i="1"/>
  <c r="A2445" i="1"/>
  <c r="G2444" i="1"/>
  <c r="F2444" i="1"/>
  <c r="E2444" i="1"/>
  <c r="D2444" i="1"/>
  <c r="B2444" i="1"/>
  <c r="A2444" i="1"/>
  <c r="G2443" i="1"/>
  <c r="F2443" i="1"/>
  <c r="E2443" i="1"/>
  <c r="D2443" i="1"/>
  <c r="B2443" i="1"/>
  <c r="A2443" i="1"/>
  <c r="G2442" i="1"/>
  <c r="F2442" i="1"/>
  <c r="E2442" i="1"/>
  <c r="D2442" i="1"/>
  <c r="B2442" i="1"/>
  <c r="A2442" i="1"/>
  <c r="G2441" i="1"/>
  <c r="F2441" i="1"/>
  <c r="E2441" i="1"/>
  <c r="D2441" i="1"/>
  <c r="B2441" i="1"/>
  <c r="A2441" i="1"/>
  <c r="G2440" i="1"/>
  <c r="F2440" i="1"/>
  <c r="E2440" i="1"/>
  <c r="D2440" i="1"/>
  <c r="B2440" i="1"/>
  <c r="A2440" i="1"/>
  <c r="G2439" i="1"/>
  <c r="F2439" i="1"/>
  <c r="E2439" i="1"/>
  <c r="D2439" i="1"/>
  <c r="B2439" i="1"/>
  <c r="A2439" i="1"/>
  <c r="G2438" i="1"/>
  <c r="F2438" i="1"/>
  <c r="E2438" i="1"/>
  <c r="D2438" i="1"/>
  <c r="B2438" i="1"/>
  <c r="A2438" i="1"/>
  <c r="G2437" i="1"/>
  <c r="F2437" i="1"/>
  <c r="E2437" i="1"/>
  <c r="D2437" i="1"/>
  <c r="B2437" i="1"/>
  <c r="A2437" i="1"/>
  <c r="G2436" i="1"/>
  <c r="F2436" i="1"/>
  <c r="E2436" i="1"/>
  <c r="D2436" i="1"/>
  <c r="B2436" i="1"/>
  <c r="A2436" i="1"/>
  <c r="G2435" i="1"/>
  <c r="F2435" i="1"/>
  <c r="E2435" i="1"/>
  <c r="D2435" i="1"/>
  <c r="B2435" i="1"/>
  <c r="A2435" i="1"/>
  <c r="G2434" i="1"/>
  <c r="F2434" i="1"/>
  <c r="E2434" i="1"/>
  <c r="D2434" i="1"/>
  <c r="B2434" i="1"/>
  <c r="A2434" i="1"/>
  <c r="G2433" i="1"/>
  <c r="F2433" i="1"/>
  <c r="E2433" i="1"/>
  <c r="D2433" i="1"/>
  <c r="B2433" i="1"/>
  <c r="A2433" i="1"/>
  <c r="G2432" i="1"/>
  <c r="F2432" i="1"/>
  <c r="E2432" i="1"/>
  <c r="D2432" i="1"/>
  <c r="B2432" i="1"/>
  <c r="A2432" i="1"/>
  <c r="G2431" i="1"/>
  <c r="F2431" i="1"/>
  <c r="E2431" i="1"/>
  <c r="D2431" i="1"/>
  <c r="B2431" i="1"/>
  <c r="A2431" i="1"/>
  <c r="G2430" i="1"/>
  <c r="F2430" i="1"/>
  <c r="E2430" i="1"/>
  <c r="D2430" i="1"/>
  <c r="B2430" i="1"/>
  <c r="A2430" i="1"/>
  <c r="G2429" i="1"/>
  <c r="F2429" i="1"/>
  <c r="E2429" i="1"/>
  <c r="D2429" i="1"/>
  <c r="B2429" i="1"/>
  <c r="A2429" i="1"/>
  <c r="G2428" i="1"/>
  <c r="F2428" i="1"/>
  <c r="E2428" i="1"/>
  <c r="D2428" i="1"/>
  <c r="B2428" i="1"/>
  <c r="A2428" i="1"/>
  <c r="G2427" i="1"/>
  <c r="F2427" i="1"/>
  <c r="E2427" i="1"/>
  <c r="D2427" i="1"/>
  <c r="B2427" i="1"/>
  <c r="A2427" i="1"/>
  <c r="G2426" i="1"/>
  <c r="F2426" i="1"/>
  <c r="E2426" i="1"/>
  <c r="D2426" i="1"/>
  <c r="B2426" i="1"/>
  <c r="A2426" i="1"/>
  <c r="G2425" i="1"/>
  <c r="F2425" i="1"/>
  <c r="E2425" i="1"/>
  <c r="D2425" i="1"/>
  <c r="B2425" i="1"/>
  <c r="A2425" i="1"/>
  <c r="G2424" i="1"/>
  <c r="F2424" i="1"/>
  <c r="E2424" i="1"/>
  <c r="D2424" i="1"/>
  <c r="B2424" i="1"/>
  <c r="A2424" i="1"/>
  <c r="G2423" i="1"/>
  <c r="F2423" i="1"/>
  <c r="E2423" i="1"/>
  <c r="D2423" i="1"/>
  <c r="B2423" i="1"/>
  <c r="A2423" i="1"/>
  <c r="G2422" i="1"/>
  <c r="F2422" i="1"/>
  <c r="E2422" i="1"/>
  <c r="D2422" i="1"/>
  <c r="B2422" i="1"/>
  <c r="A2422" i="1"/>
  <c r="G2421" i="1"/>
  <c r="F2421" i="1"/>
  <c r="E2421" i="1"/>
  <c r="D2421" i="1"/>
  <c r="B2421" i="1"/>
  <c r="A2421" i="1"/>
  <c r="G2420" i="1"/>
  <c r="F2420" i="1"/>
  <c r="E2420" i="1"/>
  <c r="D2420" i="1"/>
  <c r="B2420" i="1"/>
  <c r="A2420" i="1"/>
  <c r="G2419" i="1"/>
  <c r="F2419" i="1"/>
  <c r="E2419" i="1"/>
  <c r="D2419" i="1"/>
  <c r="B2419" i="1"/>
  <c r="A2419" i="1"/>
  <c r="G2418" i="1"/>
  <c r="F2418" i="1"/>
  <c r="E2418" i="1"/>
  <c r="D2418" i="1"/>
  <c r="B2418" i="1"/>
  <c r="A2418" i="1"/>
  <c r="G2417" i="1"/>
  <c r="F2417" i="1"/>
  <c r="E2417" i="1"/>
  <c r="D2417" i="1"/>
  <c r="B2417" i="1"/>
  <c r="A2417" i="1"/>
  <c r="G2416" i="1"/>
  <c r="F2416" i="1"/>
  <c r="E2416" i="1"/>
  <c r="D2416" i="1"/>
  <c r="B2416" i="1"/>
  <c r="A2416" i="1"/>
  <c r="G2415" i="1"/>
  <c r="F2415" i="1"/>
  <c r="E2415" i="1"/>
  <c r="D2415" i="1"/>
  <c r="B2415" i="1"/>
  <c r="A2415" i="1"/>
  <c r="G2414" i="1"/>
  <c r="F2414" i="1"/>
  <c r="E2414" i="1"/>
  <c r="D2414" i="1"/>
  <c r="B2414" i="1"/>
  <c r="A2414" i="1"/>
  <c r="G2413" i="1"/>
  <c r="F2413" i="1"/>
  <c r="E2413" i="1"/>
  <c r="D2413" i="1"/>
  <c r="B2413" i="1"/>
  <c r="A2413" i="1"/>
  <c r="G2412" i="1"/>
  <c r="F2412" i="1"/>
  <c r="E2412" i="1"/>
  <c r="D2412" i="1"/>
  <c r="B2412" i="1"/>
  <c r="A2412" i="1"/>
  <c r="G2411" i="1"/>
  <c r="F2411" i="1"/>
  <c r="E2411" i="1"/>
  <c r="D2411" i="1"/>
  <c r="B2411" i="1"/>
  <c r="A2411" i="1"/>
  <c r="G2410" i="1"/>
  <c r="F2410" i="1"/>
  <c r="E2410" i="1"/>
  <c r="D2410" i="1"/>
  <c r="B2410" i="1"/>
  <c r="A2410" i="1"/>
  <c r="G2409" i="1"/>
  <c r="F2409" i="1"/>
  <c r="E2409" i="1"/>
  <c r="D2409" i="1"/>
  <c r="B2409" i="1"/>
  <c r="A2409" i="1"/>
  <c r="G2408" i="1"/>
  <c r="F2408" i="1"/>
  <c r="E2408" i="1"/>
  <c r="D2408" i="1"/>
  <c r="B2408" i="1"/>
  <c r="A2408" i="1"/>
  <c r="G2407" i="1"/>
  <c r="F2407" i="1"/>
  <c r="E2407" i="1"/>
  <c r="D2407" i="1"/>
  <c r="B2407" i="1"/>
  <c r="A2407" i="1"/>
  <c r="G2406" i="1"/>
  <c r="F2406" i="1"/>
  <c r="E2406" i="1"/>
  <c r="D2406" i="1"/>
  <c r="B2406" i="1"/>
  <c r="A2406" i="1"/>
  <c r="G2405" i="1"/>
  <c r="F2405" i="1"/>
  <c r="E2405" i="1"/>
  <c r="D2405" i="1"/>
  <c r="B2405" i="1"/>
  <c r="A2405" i="1"/>
  <c r="G2404" i="1"/>
  <c r="F2404" i="1"/>
  <c r="E2404" i="1"/>
  <c r="D2404" i="1"/>
  <c r="B2404" i="1"/>
  <c r="A2404" i="1"/>
  <c r="G2403" i="1"/>
  <c r="F2403" i="1"/>
  <c r="E2403" i="1"/>
  <c r="D2403" i="1"/>
  <c r="B2403" i="1"/>
  <c r="A2403" i="1"/>
  <c r="G2402" i="1"/>
  <c r="F2402" i="1"/>
  <c r="E2402" i="1"/>
  <c r="D2402" i="1"/>
  <c r="B2402" i="1"/>
  <c r="A2402" i="1"/>
  <c r="G2401" i="1"/>
  <c r="F2401" i="1"/>
  <c r="E2401" i="1"/>
  <c r="D2401" i="1"/>
  <c r="B2401" i="1"/>
  <c r="A2401" i="1"/>
  <c r="G2400" i="1"/>
  <c r="F2400" i="1"/>
  <c r="E2400" i="1"/>
  <c r="D2400" i="1"/>
  <c r="B2400" i="1"/>
  <c r="A2400" i="1"/>
  <c r="G2399" i="1"/>
  <c r="F2399" i="1"/>
  <c r="E2399" i="1"/>
  <c r="D2399" i="1"/>
  <c r="B2399" i="1"/>
  <c r="A2399" i="1"/>
  <c r="G2398" i="1"/>
  <c r="F2398" i="1"/>
  <c r="E2398" i="1"/>
  <c r="D2398" i="1"/>
  <c r="B2398" i="1"/>
  <c r="A2398" i="1"/>
  <c r="G2397" i="1"/>
  <c r="F2397" i="1"/>
  <c r="E2397" i="1"/>
  <c r="D2397" i="1"/>
  <c r="B2397" i="1"/>
  <c r="A2397" i="1"/>
  <c r="G2396" i="1"/>
  <c r="F2396" i="1"/>
  <c r="E2396" i="1"/>
  <c r="D2396" i="1"/>
  <c r="B2396" i="1"/>
  <c r="A2396" i="1"/>
  <c r="G2395" i="1"/>
  <c r="F2395" i="1"/>
  <c r="E2395" i="1"/>
  <c r="D2395" i="1"/>
  <c r="B2395" i="1"/>
  <c r="A2395" i="1"/>
  <c r="G2394" i="1"/>
  <c r="F2394" i="1"/>
  <c r="E2394" i="1"/>
  <c r="D2394" i="1"/>
  <c r="B2394" i="1"/>
  <c r="A2394" i="1"/>
  <c r="G2393" i="1"/>
  <c r="F2393" i="1"/>
  <c r="E2393" i="1"/>
  <c r="D2393" i="1"/>
  <c r="B2393" i="1"/>
  <c r="A2393" i="1"/>
  <c r="G2392" i="1"/>
  <c r="F2392" i="1"/>
  <c r="E2392" i="1"/>
  <c r="D2392" i="1"/>
  <c r="B2392" i="1"/>
  <c r="A2392" i="1"/>
  <c r="G2391" i="1"/>
  <c r="F2391" i="1"/>
  <c r="E2391" i="1"/>
  <c r="D2391" i="1"/>
  <c r="B2391" i="1"/>
  <c r="A2391" i="1"/>
  <c r="G2390" i="1"/>
  <c r="F2390" i="1"/>
  <c r="E2390" i="1"/>
  <c r="D2390" i="1"/>
  <c r="B2390" i="1"/>
  <c r="A2390" i="1"/>
  <c r="G2389" i="1"/>
  <c r="F2389" i="1"/>
  <c r="E2389" i="1"/>
  <c r="D2389" i="1"/>
  <c r="B2389" i="1"/>
  <c r="A2389" i="1"/>
  <c r="G2388" i="1"/>
  <c r="F2388" i="1"/>
  <c r="E2388" i="1"/>
  <c r="D2388" i="1"/>
  <c r="B2388" i="1"/>
  <c r="A2388" i="1"/>
  <c r="G2387" i="1"/>
  <c r="F2387" i="1"/>
  <c r="E2387" i="1"/>
  <c r="D2387" i="1"/>
  <c r="B2387" i="1"/>
  <c r="A2387" i="1"/>
  <c r="G2386" i="1"/>
  <c r="F2386" i="1"/>
  <c r="E2386" i="1"/>
  <c r="D2386" i="1"/>
  <c r="B2386" i="1"/>
  <c r="A2386" i="1"/>
  <c r="G2385" i="1"/>
  <c r="F2385" i="1"/>
  <c r="E2385" i="1"/>
  <c r="D2385" i="1"/>
  <c r="B2385" i="1"/>
  <c r="A2385" i="1"/>
  <c r="G2384" i="1"/>
  <c r="F2384" i="1"/>
  <c r="E2384" i="1"/>
  <c r="D2384" i="1"/>
  <c r="B2384" i="1"/>
  <c r="A2384" i="1"/>
  <c r="G2383" i="1"/>
  <c r="F2383" i="1"/>
  <c r="E2383" i="1"/>
  <c r="D2383" i="1"/>
  <c r="B2383" i="1"/>
  <c r="A2383" i="1"/>
  <c r="G2382" i="1"/>
  <c r="F2382" i="1"/>
  <c r="E2382" i="1"/>
  <c r="D2382" i="1"/>
  <c r="B2382" i="1"/>
  <c r="A2382" i="1"/>
  <c r="G2381" i="1"/>
  <c r="F2381" i="1"/>
  <c r="E2381" i="1"/>
  <c r="D2381" i="1"/>
  <c r="B2381" i="1"/>
  <c r="A2381" i="1"/>
  <c r="G2380" i="1"/>
  <c r="F2380" i="1"/>
  <c r="E2380" i="1"/>
  <c r="D2380" i="1"/>
  <c r="B2380" i="1"/>
  <c r="A2380" i="1"/>
  <c r="G2379" i="1"/>
  <c r="F2379" i="1"/>
  <c r="E2379" i="1"/>
  <c r="D2379" i="1"/>
  <c r="B2379" i="1"/>
  <c r="A2379" i="1"/>
  <c r="G2378" i="1"/>
  <c r="F2378" i="1"/>
  <c r="E2378" i="1"/>
  <c r="D2378" i="1"/>
  <c r="B2378" i="1"/>
  <c r="A2378" i="1"/>
  <c r="G2377" i="1"/>
  <c r="F2377" i="1"/>
  <c r="E2377" i="1"/>
  <c r="D2377" i="1"/>
  <c r="B2377" i="1"/>
  <c r="A2377" i="1"/>
  <c r="G2376" i="1"/>
  <c r="F2376" i="1"/>
  <c r="E2376" i="1"/>
  <c r="D2376" i="1"/>
  <c r="B2376" i="1"/>
  <c r="A2376" i="1"/>
  <c r="G2375" i="1"/>
  <c r="F2375" i="1"/>
  <c r="E2375" i="1"/>
  <c r="D2375" i="1"/>
  <c r="B2375" i="1"/>
  <c r="A2375" i="1"/>
  <c r="G2374" i="1"/>
  <c r="F2374" i="1"/>
  <c r="E2374" i="1"/>
  <c r="D2374" i="1"/>
  <c r="B2374" i="1"/>
  <c r="A2374" i="1"/>
  <c r="G2373" i="1"/>
  <c r="F2373" i="1"/>
  <c r="E2373" i="1"/>
  <c r="D2373" i="1"/>
  <c r="B2373" i="1"/>
  <c r="A2373" i="1"/>
  <c r="G2372" i="1"/>
  <c r="F2372" i="1"/>
  <c r="E2372" i="1"/>
  <c r="D2372" i="1"/>
  <c r="B2372" i="1"/>
  <c r="A2372" i="1"/>
  <c r="G2371" i="1"/>
  <c r="F2371" i="1"/>
  <c r="E2371" i="1"/>
  <c r="D2371" i="1"/>
  <c r="B2371" i="1"/>
  <c r="A2371" i="1"/>
  <c r="G2370" i="1"/>
  <c r="F2370" i="1"/>
  <c r="E2370" i="1"/>
  <c r="D2370" i="1"/>
  <c r="B2370" i="1"/>
  <c r="A2370" i="1"/>
  <c r="G2369" i="1"/>
  <c r="F2369" i="1"/>
  <c r="E2369" i="1"/>
  <c r="D2369" i="1"/>
  <c r="B2369" i="1"/>
  <c r="A2369" i="1"/>
  <c r="G2368" i="1"/>
  <c r="F2368" i="1"/>
  <c r="E2368" i="1"/>
  <c r="D2368" i="1"/>
  <c r="B2368" i="1"/>
  <c r="A2368" i="1"/>
  <c r="G2367" i="1"/>
  <c r="F2367" i="1"/>
  <c r="E2367" i="1"/>
  <c r="D2367" i="1"/>
  <c r="B2367" i="1"/>
  <c r="A2367" i="1"/>
  <c r="G2366" i="1"/>
  <c r="F2366" i="1"/>
  <c r="E2366" i="1"/>
  <c r="D2366" i="1"/>
  <c r="B2366" i="1"/>
  <c r="A2366" i="1"/>
  <c r="G2365" i="1"/>
  <c r="F2365" i="1"/>
  <c r="E2365" i="1"/>
  <c r="D2365" i="1"/>
  <c r="B2365" i="1"/>
  <c r="A2365" i="1"/>
  <c r="G2364" i="1"/>
  <c r="F2364" i="1"/>
  <c r="E2364" i="1"/>
  <c r="D2364" i="1"/>
  <c r="B2364" i="1"/>
  <c r="A2364" i="1"/>
  <c r="G2363" i="1"/>
  <c r="F2363" i="1"/>
  <c r="E2363" i="1"/>
  <c r="D2363" i="1"/>
  <c r="B2363" i="1"/>
  <c r="A2363" i="1"/>
  <c r="G2362" i="1"/>
  <c r="F2362" i="1"/>
  <c r="E2362" i="1"/>
  <c r="D2362" i="1"/>
  <c r="B2362" i="1"/>
  <c r="A2362" i="1"/>
  <c r="G2361" i="1"/>
  <c r="F2361" i="1"/>
  <c r="E2361" i="1"/>
  <c r="D2361" i="1"/>
  <c r="B2361" i="1"/>
  <c r="A2361" i="1"/>
  <c r="G2360" i="1"/>
  <c r="F2360" i="1"/>
  <c r="E2360" i="1"/>
  <c r="D2360" i="1"/>
  <c r="B2360" i="1"/>
  <c r="A2360" i="1"/>
  <c r="G2359" i="1"/>
  <c r="F2359" i="1"/>
  <c r="E2359" i="1"/>
  <c r="D2359" i="1"/>
  <c r="B2359" i="1"/>
  <c r="A2359" i="1"/>
  <c r="G2358" i="1"/>
  <c r="F2358" i="1"/>
  <c r="E2358" i="1"/>
  <c r="D2358" i="1"/>
  <c r="B2358" i="1"/>
  <c r="A2358" i="1"/>
  <c r="G2357" i="1"/>
  <c r="F2357" i="1"/>
  <c r="E2357" i="1"/>
  <c r="D2357" i="1"/>
  <c r="B2357" i="1"/>
  <c r="A2357" i="1"/>
  <c r="G2356" i="1"/>
  <c r="F2356" i="1"/>
  <c r="E2356" i="1"/>
  <c r="D2356" i="1"/>
  <c r="B2356" i="1"/>
  <c r="A2356" i="1"/>
  <c r="G2355" i="1"/>
  <c r="F2355" i="1"/>
  <c r="E2355" i="1"/>
  <c r="D2355" i="1"/>
  <c r="B2355" i="1"/>
  <c r="A2355" i="1"/>
  <c r="G2354" i="1"/>
  <c r="F2354" i="1"/>
  <c r="E2354" i="1"/>
  <c r="D2354" i="1"/>
  <c r="B2354" i="1"/>
  <c r="A2354" i="1"/>
  <c r="G2353" i="1"/>
  <c r="F2353" i="1"/>
  <c r="E2353" i="1"/>
  <c r="D2353" i="1"/>
  <c r="B2353" i="1"/>
  <c r="A2353" i="1"/>
  <c r="G2352" i="1"/>
  <c r="F2352" i="1"/>
  <c r="E2352" i="1"/>
  <c r="D2352" i="1"/>
  <c r="B2352" i="1"/>
  <c r="A2352" i="1"/>
  <c r="G2351" i="1"/>
  <c r="F2351" i="1"/>
  <c r="E2351" i="1"/>
  <c r="D2351" i="1"/>
  <c r="B2351" i="1"/>
  <c r="A2351" i="1"/>
  <c r="G2350" i="1"/>
  <c r="F2350" i="1"/>
  <c r="E2350" i="1"/>
  <c r="D2350" i="1"/>
  <c r="B2350" i="1"/>
  <c r="A2350" i="1"/>
  <c r="G2349" i="1"/>
  <c r="F2349" i="1"/>
  <c r="E2349" i="1"/>
  <c r="D2349" i="1"/>
  <c r="B2349" i="1"/>
  <c r="A2349" i="1"/>
  <c r="G2348" i="1"/>
  <c r="F2348" i="1"/>
  <c r="E2348" i="1"/>
  <c r="D2348" i="1"/>
  <c r="B2348" i="1"/>
  <c r="A2348" i="1"/>
  <c r="G2347" i="1"/>
  <c r="F2347" i="1"/>
  <c r="E2347" i="1"/>
  <c r="D2347" i="1"/>
  <c r="B2347" i="1"/>
  <c r="A2347" i="1"/>
  <c r="G2346" i="1"/>
  <c r="F2346" i="1"/>
  <c r="E2346" i="1"/>
  <c r="D2346" i="1"/>
  <c r="B2346" i="1"/>
  <c r="A2346" i="1"/>
  <c r="G2345" i="1"/>
  <c r="F2345" i="1"/>
  <c r="E2345" i="1"/>
  <c r="D2345" i="1"/>
  <c r="B2345" i="1"/>
  <c r="A2345" i="1"/>
  <c r="G2344" i="1"/>
  <c r="F2344" i="1"/>
  <c r="E2344" i="1"/>
  <c r="D2344" i="1"/>
  <c r="B2344" i="1"/>
  <c r="A2344" i="1"/>
  <c r="G2343" i="1"/>
  <c r="F2343" i="1"/>
  <c r="E2343" i="1"/>
  <c r="D2343" i="1"/>
  <c r="B2343" i="1"/>
  <c r="A2343" i="1"/>
  <c r="G2342" i="1"/>
  <c r="F2342" i="1"/>
  <c r="E2342" i="1"/>
  <c r="D2342" i="1"/>
  <c r="B2342" i="1"/>
  <c r="A2342" i="1"/>
  <c r="G2341" i="1"/>
  <c r="F2341" i="1"/>
  <c r="E2341" i="1"/>
  <c r="D2341" i="1"/>
  <c r="B2341" i="1"/>
  <c r="A2341" i="1"/>
  <c r="G2340" i="1"/>
  <c r="F2340" i="1"/>
  <c r="E2340" i="1"/>
  <c r="D2340" i="1"/>
  <c r="B2340" i="1"/>
  <c r="A2340" i="1"/>
  <c r="G2339" i="1"/>
  <c r="F2339" i="1"/>
  <c r="E2339" i="1"/>
  <c r="D2339" i="1"/>
  <c r="B2339" i="1"/>
  <c r="A2339" i="1"/>
  <c r="G2338" i="1"/>
  <c r="F2338" i="1"/>
  <c r="E2338" i="1"/>
  <c r="D2338" i="1"/>
  <c r="B2338" i="1"/>
  <c r="A2338" i="1"/>
  <c r="G2337" i="1"/>
  <c r="F2337" i="1"/>
  <c r="E2337" i="1"/>
  <c r="D2337" i="1"/>
  <c r="B2337" i="1"/>
  <c r="A2337" i="1"/>
  <c r="G2336" i="1"/>
  <c r="F2336" i="1"/>
  <c r="E2336" i="1"/>
  <c r="D2336" i="1"/>
  <c r="B2336" i="1"/>
  <c r="A2336" i="1"/>
  <c r="G2335" i="1"/>
  <c r="F2335" i="1"/>
  <c r="E2335" i="1"/>
  <c r="D2335" i="1"/>
  <c r="B2335" i="1"/>
  <c r="A2335" i="1"/>
  <c r="G2334" i="1"/>
  <c r="F2334" i="1"/>
  <c r="E2334" i="1"/>
  <c r="D2334" i="1"/>
  <c r="B2334" i="1"/>
  <c r="A2334" i="1"/>
  <c r="G2333" i="1"/>
  <c r="F2333" i="1"/>
  <c r="E2333" i="1"/>
  <c r="D2333" i="1"/>
  <c r="B2333" i="1"/>
  <c r="A2333" i="1"/>
  <c r="G2332" i="1"/>
  <c r="F2332" i="1"/>
  <c r="E2332" i="1"/>
  <c r="D2332" i="1"/>
  <c r="B2332" i="1"/>
  <c r="A2332" i="1"/>
  <c r="G2331" i="1"/>
  <c r="F2331" i="1"/>
  <c r="E2331" i="1"/>
  <c r="D2331" i="1"/>
  <c r="B2331" i="1"/>
  <c r="A2331" i="1"/>
  <c r="G2330" i="1"/>
  <c r="F2330" i="1"/>
  <c r="E2330" i="1"/>
  <c r="D2330" i="1"/>
  <c r="B2330" i="1"/>
  <c r="A2330" i="1"/>
  <c r="G2329" i="1"/>
  <c r="F2329" i="1"/>
  <c r="E2329" i="1"/>
  <c r="D2329" i="1"/>
  <c r="B2329" i="1"/>
  <c r="A2329" i="1"/>
  <c r="G2328" i="1"/>
  <c r="F2328" i="1"/>
  <c r="E2328" i="1"/>
  <c r="D2328" i="1"/>
  <c r="B2328" i="1"/>
  <c r="A2328" i="1"/>
  <c r="G2327" i="1"/>
  <c r="F2327" i="1"/>
  <c r="E2327" i="1"/>
  <c r="D2327" i="1"/>
  <c r="B2327" i="1"/>
  <c r="A2327" i="1"/>
  <c r="G2326" i="1"/>
  <c r="F2326" i="1"/>
  <c r="E2326" i="1"/>
  <c r="D2326" i="1"/>
  <c r="B2326" i="1"/>
  <c r="A2326" i="1"/>
  <c r="G2325" i="1"/>
  <c r="F2325" i="1"/>
  <c r="E2325" i="1"/>
  <c r="D2325" i="1"/>
  <c r="B2325" i="1"/>
  <c r="A2325" i="1"/>
  <c r="G2324" i="1"/>
  <c r="F2324" i="1"/>
  <c r="E2324" i="1"/>
  <c r="D2324" i="1"/>
  <c r="B2324" i="1"/>
  <c r="A2324" i="1"/>
  <c r="G2323" i="1"/>
  <c r="F2323" i="1"/>
  <c r="E2323" i="1"/>
  <c r="D2323" i="1"/>
  <c r="B2323" i="1"/>
  <c r="A2323" i="1"/>
  <c r="G2322" i="1"/>
  <c r="F2322" i="1"/>
  <c r="E2322" i="1"/>
  <c r="D2322" i="1"/>
  <c r="B2322" i="1"/>
  <c r="A2322" i="1"/>
  <c r="G2321" i="1"/>
  <c r="F2321" i="1"/>
  <c r="E2321" i="1"/>
  <c r="D2321" i="1"/>
  <c r="B2321" i="1"/>
  <c r="A2321" i="1"/>
  <c r="G2320" i="1"/>
  <c r="F2320" i="1"/>
  <c r="E2320" i="1"/>
  <c r="D2320" i="1"/>
  <c r="B2320" i="1"/>
  <c r="A2320" i="1"/>
  <c r="G2319" i="1"/>
  <c r="F2319" i="1"/>
  <c r="E2319" i="1"/>
  <c r="D2319" i="1"/>
  <c r="B2319" i="1"/>
  <c r="A2319" i="1"/>
  <c r="G2318" i="1"/>
  <c r="F2318" i="1"/>
  <c r="E2318" i="1"/>
  <c r="D2318" i="1"/>
  <c r="B2318" i="1"/>
  <c r="A2318" i="1"/>
  <c r="G2317" i="1"/>
  <c r="F2317" i="1"/>
  <c r="E2317" i="1"/>
  <c r="D2317" i="1"/>
  <c r="B2317" i="1"/>
  <c r="A2317" i="1"/>
  <c r="G2316" i="1"/>
  <c r="F2316" i="1"/>
  <c r="E2316" i="1"/>
  <c r="D2316" i="1"/>
  <c r="B2316" i="1"/>
  <c r="A2316" i="1"/>
  <c r="G2315" i="1"/>
  <c r="F2315" i="1"/>
  <c r="E2315" i="1"/>
  <c r="D2315" i="1"/>
  <c r="B2315" i="1"/>
  <c r="A2315" i="1"/>
  <c r="G2314" i="1"/>
  <c r="F2314" i="1"/>
  <c r="E2314" i="1"/>
  <c r="D2314" i="1"/>
  <c r="B2314" i="1"/>
  <c r="A2314" i="1"/>
  <c r="G2313" i="1"/>
  <c r="F2313" i="1"/>
  <c r="E2313" i="1"/>
  <c r="D2313" i="1"/>
  <c r="B2313" i="1"/>
  <c r="A2313" i="1"/>
  <c r="G2312" i="1"/>
  <c r="F2312" i="1"/>
  <c r="E2312" i="1"/>
  <c r="D2312" i="1"/>
  <c r="B2312" i="1"/>
  <c r="A2312" i="1"/>
  <c r="G2311" i="1"/>
  <c r="F2311" i="1"/>
  <c r="E2311" i="1"/>
  <c r="D2311" i="1"/>
  <c r="B2311" i="1"/>
  <c r="A2311" i="1"/>
  <c r="G2310" i="1"/>
  <c r="F2310" i="1"/>
  <c r="E2310" i="1"/>
  <c r="D2310" i="1"/>
  <c r="B2310" i="1"/>
  <c r="A2310" i="1"/>
  <c r="G2309" i="1"/>
  <c r="F2309" i="1"/>
  <c r="E2309" i="1"/>
  <c r="D2309" i="1"/>
  <c r="B2309" i="1"/>
  <c r="A2309" i="1"/>
  <c r="G2308" i="1"/>
  <c r="F2308" i="1"/>
  <c r="E2308" i="1"/>
  <c r="D2308" i="1"/>
  <c r="B2308" i="1"/>
  <c r="A2308" i="1"/>
  <c r="G2307" i="1"/>
  <c r="F2307" i="1"/>
  <c r="E2307" i="1"/>
  <c r="D2307" i="1"/>
  <c r="B2307" i="1"/>
  <c r="A2307" i="1"/>
  <c r="G2306" i="1"/>
  <c r="F2306" i="1"/>
  <c r="E2306" i="1"/>
  <c r="D2306" i="1"/>
  <c r="B2306" i="1"/>
  <c r="A2306" i="1"/>
  <c r="G2305" i="1"/>
  <c r="F2305" i="1"/>
  <c r="E2305" i="1"/>
  <c r="D2305" i="1"/>
  <c r="B2305" i="1"/>
  <c r="A2305" i="1"/>
  <c r="G2304" i="1"/>
  <c r="F2304" i="1"/>
  <c r="E2304" i="1"/>
  <c r="D2304" i="1"/>
  <c r="B2304" i="1"/>
  <c r="A2304" i="1"/>
  <c r="G2303" i="1"/>
  <c r="F2303" i="1"/>
  <c r="E2303" i="1"/>
  <c r="D2303" i="1"/>
  <c r="B2303" i="1"/>
  <c r="A2303" i="1"/>
  <c r="G2302" i="1"/>
  <c r="F2302" i="1"/>
  <c r="E2302" i="1"/>
  <c r="D2302" i="1"/>
  <c r="B2302" i="1"/>
  <c r="A2302" i="1"/>
  <c r="G2301" i="1"/>
  <c r="F2301" i="1"/>
  <c r="E2301" i="1"/>
  <c r="D2301" i="1"/>
  <c r="B2301" i="1"/>
  <c r="A2301" i="1"/>
  <c r="G2300" i="1"/>
  <c r="F2300" i="1"/>
  <c r="E2300" i="1"/>
  <c r="D2300" i="1"/>
  <c r="B2300" i="1"/>
  <c r="A2300" i="1"/>
  <c r="G2299" i="1"/>
  <c r="F2299" i="1"/>
  <c r="E2299" i="1"/>
  <c r="D2299" i="1"/>
  <c r="B2299" i="1"/>
  <c r="A2299" i="1"/>
  <c r="G2298" i="1"/>
  <c r="F2298" i="1"/>
  <c r="E2298" i="1"/>
  <c r="D2298" i="1"/>
  <c r="B2298" i="1"/>
  <c r="A2298" i="1"/>
  <c r="G2297" i="1"/>
  <c r="F2297" i="1"/>
  <c r="E2297" i="1"/>
  <c r="D2297" i="1"/>
  <c r="B2297" i="1"/>
  <c r="A2297" i="1"/>
  <c r="G2296" i="1"/>
  <c r="F2296" i="1"/>
  <c r="E2296" i="1"/>
  <c r="D2296" i="1"/>
  <c r="B2296" i="1"/>
  <c r="A2296" i="1"/>
  <c r="G2295" i="1"/>
  <c r="F2295" i="1"/>
  <c r="E2295" i="1"/>
  <c r="D2295" i="1"/>
  <c r="B2295" i="1"/>
  <c r="A2295" i="1"/>
  <c r="G2294" i="1"/>
  <c r="F2294" i="1"/>
  <c r="E2294" i="1"/>
  <c r="D2294" i="1"/>
  <c r="B2294" i="1"/>
  <c r="A2294" i="1"/>
  <c r="G2293" i="1"/>
  <c r="F2293" i="1"/>
  <c r="E2293" i="1"/>
  <c r="D2293" i="1"/>
  <c r="B2293" i="1"/>
  <c r="A2293" i="1"/>
  <c r="G2292" i="1"/>
  <c r="F2292" i="1"/>
  <c r="E2292" i="1"/>
  <c r="D2292" i="1"/>
  <c r="B2292" i="1"/>
  <c r="A2292" i="1"/>
  <c r="G2291" i="1"/>
  <c r="F2291" i="1"/>
  <c r="E2291" i="1"/>
  <c r="D2291" i="1"/>
  <c r="B2291" i="1"/>
  <c r="A2291" i="1"/>
  <c r="G2290" i="1"/>
  <c r="F2290" i="1"/>
  <c r="E2290" i="1"/>
  <c r="D2290" i="1"/>
  <c r="B2290" i="1"/>
  <c r="A2290" i="1"/>
  <c r="G2289" i="1"/>
  <c r="F2289" i="1"/>
  <c r="E2289" i="1"/>
  <c r="D2289" i="1"/>
  <c r="B2289" i="1"/>
  <c r="A2289" i="1"/>
  <c r="G2288" i="1"/>
  <c r="F2288" i="1"/>
  <c r="E2288" i="1"/>
  <c r="D2288" i="1"/>
  <c r="B2288" i="1"/>
  <c r="A2288" i="1"/>
  <c r="G2287" i="1"/>
  <c r="F2287" i="1"/>
  <c r="E2287" i="1"/>
  <c r="D2287" i="1"/>
  <c r="B2287" i="1"/>
  <c r="A2287" i="1"/>
  <c r="G2286" i="1"/>
  <c r="F2286" i="1"/>
  <c r="E2286" i="1"/>
  <c r="D2286" i="1"/>
  <c r="B2286" i="1"/>
  <c r="A2286" i="1"/>
  <c r="G2285" i="1"/>
  <c r="F2285" i="1"/>
  <c r="E2285" i="1"/>
  <c r="D2285" i="1"/>
  <c r="B2285" i="1"/>
  <c r="A2285" i="1"/>
  <c r="G2284" i="1"/>
  <c r="F2284" i="1"/>
  <c r="E2284" i="1"/>
  <c r="D2284" i="1"/>
  <c r="B2284" i="1"/>
  <c r="A2284" i="1"/>
  <c r="G2283" i="1"/>
  <c r="F2283" i="1"/>
  <c r="E2283" i="1"/>
  <c r="D2283" i="1"/>
  <c r="B2283" i="1"/>
  <c r="A2283" i="1"/>
  <c r="G2282" i="1"/>
  <c r="F2282" i="1"/>
  <c r="E2282" i="1"/>
  <c r="D2282" i="1"/>
  <c r="B2282" i="1"/>
  <c r="A2282" i="1"/>
  <c r="G2281" i="1"/>
  <c r="F2281" i="1"/>
  <c r="E2281" i="1"/>
  <c r="D2281" i="1"/>
  <c r="B2281" i="1"/>
  <c r="A2281" i="1"/>
  <c r="G2280" i="1"/>
  <c r="F2280" i="1"/>
  <c r="E2280" i="1"/>
  <c r="D2280" i="1"/>
  <c r="B2280" i="1"/>
  <c r="A2280" i="1"/>
  <c r="G2279" i="1"/>
  <c r="F2279" i="1"/>
  <c r="E2279" i="1"/>
  <c r="D2279" i="1"/>
  <c r="B2279" i="1"/>
  <c r="A2279" i="1"/>
  <c r="G2278" i="1"/>
  <c r="F2278" i="1"/>
  <c r="E2278" i="1"/>
  <c r="D2278" i="1"/>
  <c r="B2278" i="1"/>
  <c r="A2278" i="1"/>
  <c r="G2277" i="1"/>
  <c r="F2277" i="1"/>
  <c r="E2277" i="1"/>
  <c r="D2277" i="1"/>
  <c r="B2277" i="1"/>
  <c r="A2277" i="1"/>
  <c r="G2276" i="1"/>
  <c r="F2276" i="1"/>
  <c r="E2276" i="1"/>
  <c r="D2276" i="1"/>
  <c r="B2276" i="1"/>
  <c r="A2276" i="1"/>
  <c r="G2275" i="1"/>
  <c r="F2275" i="1"/>
  <c r="E2275" i="1"/>
  <c r="D2275" i="1"/>
  <c r="B2275" i="1"/>
  <c r="A2275" i="1"/>
  <c r="G2274" i="1"/>
  <c r="F2274" i="1"/>
  <c r="E2274" i="1"/>
  <c r="D2274" i="1"/>
  <c r="B2274" i="1"/>
  <c r="A2274" i="1"/>
  <c r="G2273" i="1"/>
  <c r="F2273" i="1"/>
  <c r="E2273" i="1"/>
  <c r="D2273" i="1"/>
  <c r="B2273" i="1"/>
  <c r="A2273" i="1"/>
  <c r="G2272" i="1"/>
  <c r="F2272" i="1"/>
  <c r="E2272" i="1"/>
  <c r="D2272" i="1"/>
  <c r="B2272" i="1"/>
  <c r="A2272" i="1"/>
  <c r="G2271" i="1"/>
  <c r="F2271" i="1"/>
  <c r="E2271" i="1"/>
  <c r="D2271" i="1"/>
  <c r="B2271" i="1"/>
  <c r="A2271" i="1"/>
  <c r="G2270" i="1"/>
  <c r="F2270" i="1"/>
  <c r="E2270" i="1"/>
  <c r="D2270" i="1"/>
  <c r="B2270" i="1"/>
  <c r="A2270" i="1"/>
  <c r="G2269" i="1"/>
  <c r="F2269" i="1"/>
  <c r="E2269" i="1"/>
  <c r="D2269" i="1"/>
  <c r="B2269" i="1"/>
  <c r="A2269" i="1"/>
  <c r="G2268" i="1"/>
  <c r="F2268" i="1"/>
  <c r="E2268" i="1"/>
  <c r="D2268" i="1"/>
  <c r="B2268" i="1"/>
  <c r="A2268" i="1"/>
  <c r="G2267" i="1"/>
  <c r="F2267" i="1"/>
  <c r="E2267" i="1"/>
  <c r="D2267" i="1"/>
  <c r="B2267" i="1"/>
  <c r="A2267" i="1"/>
  <c r="G2266" i="1"/>
  <c r="F2266" i="1"/>
  <c r="E2266" i="1"/>
  <c r="D2266" i="1"/>
  <c r="B2266" i="1"/>
  <c r="A2266" i="1"/>
  <c r="G2265" i="1"/>
  <c r="F2265" i="1"/>
  <c r="E2265" i="1"/>
  <c r="D2265" i="1"/>
  <c r="B2265" i="1"/>
  <c r="A2265" i="1"/>
  <c r="G2264" i="1"/>
  <c r="F2264" i="1"/>
  <c r="E2264" i="1"/>
  <c r="D2264" i="1"/>
  <c r="B2264" i="1"/>
  <c r="A2264" i="1"/>
  <c r="G2263" i="1"/>
  <c r="F2263" i="1"/>
  <c r="E2263" i="1"/>
  <c r="D2263" i="1"/>
  <c r="B2263" i="1"/>
  <c r="A2263" i="1"/>
  <c r="G2262" i="1"/>
  <c r="F2262" i="1"/>
  <c r="E2262" i="1"/>
  <c r="D2262" i="1"/>
  <c r="B2262" i="1"/>
  <c r="A2262" i="1"/>
  <c r="G2261" i="1"/>
  <c r="F2261" i="1"/>
  <c r="E2261" i="1"/>
  <c r="D2261" i="1"/>
  <c r="B2261" i="1"/>
  <c r="A2261" i="1"/>
  <c r="G2260" i="1"/>
  <c r="F2260" i="1"/>
  <c r="E2260" i="1"/>
  <c r="D2260" i="1"/>
  <c r="B2260" i="1"/>
  <c r="A2260" i="1"/>
  <c r="G2259" i="1"/>
  <c r="F2259" i="1"/>
  <c r="E2259" i="1"/>
  <c r="D2259" i="1"/>
  <c r="B2259" i="1"/>
  <c r="A2259" i="1"/>
  <c r="G2258" i="1"/>
  <c r="F2258" i="1"/>
  <c r="E2258" i="1"/>
  <c r="D2258" i="1"/>
  <c r="B2258" i="1"/>
  <c r="A2258" i="1"/>
  <c r="G2257" i="1"/>
  <c r="F2257" i="1"/>
  <c r="E2257" i="1"/>
  <c r="D2257" i="1"/>
  <c r="B2257" i="1"/>
  <c r="A2257" i="1"/>
  <c r="G2256" i="1"/>
  <c r="F2256" i="1"/>
  <c r="E2256" i="1"/>
  <c r="D2256" i="1"/>
  <c r="B2256" i="1"/>
  <c r="A2256" i="1"/>
  <c r="G2255" i="1"/>
  <c r="F2255" i="1"/>
  <c r="E2255" i="1"/>
  <c r="D2255" i="1"/>
  <c r="B2255" i="1"/>
  <c r="A2255" i="1"/>
  <c r="G2254" i="1"/>
  <c r="F2254" i="1"/>
  <c r="E2254" i="1"/>
  <c r="D2254" i="1"/>
  <c r="B2254" i="1"/>
  <c r="A2254" i="1"/>
  <c r="G2253" i="1"/>
  <c r="F2253" i="1"/>
  <c r="E2253" i="1"/>
  <c r="D2253" i="1"/>
  <c r="B2253" i="1"/>
  <c r="A2253" i="1"/>
  <c r="G2252" i="1"/>
  <c r="F2252" i="1"/>
  <c r="E2252" i="1"/>
  <c r="D2252" i="1"/>
  <c r="B2252" i="1"/>
  <c r="A2252" i="1"/>
  <c r="G2251" i="1"/>
  <c r="F2251" i="1"/>
  <c r="E2251" i="1"/>
  <c r="D2251" i="1"/>
  <c r="B2251" i="1"/>
  <c r="A2251" i="1"/>
  <c r="G2250" i="1"/>
  <c r="F2250" i="1"/>
  <c r="E2250" i="1"/>
  <c r="D2250" i="1"/>
  <c r="B2250" i="1"/>
  <c r="A2250" i="1"/>
  <c r="G2249" i="1"/>
  <c r="F2249" i="1"/>
  <c r="E2249" i="1"/>
  <c r="D2249" i="1"/>
  <c r="B2249" i="1"/>
  <c r="A2249" i="1"/>
  <c r="G2248" i="1"/>
  <c r="F2248" i="1"/>
  <c r="E2248" i="1"/>
  <c r="D2248" i="1"/>
  <c r="B2248" i="1"/>
  <c r="A2248" i="1"/>
  <c r="G2247" i="1"/>
  <c r="F2247" i="1"/>
  <c r="E2247" i="1"/>
  <c r="D2247" i="1"/>
  <c r="B2247" i="1"/>
  <c r="A2247" i="1"/>
  <c r="G2246" i="1"/>
  <c r="F2246" i="1"/>
  <c r="E2246" i="1"/>
  <c r="D2246" i="1"/>
  <c r="B2246" i="1"/>
  <c r="A2246" i="1"/>
  <c r="G2245" i="1"/>
  <c r="F2245" i="1"/>
  <c r="E2245" i="1"/>
  <c r="D2245" i="1"/>
  <c r="B2245" i="1"/>
  <c r="A2245" i="1"/>
  <c r="G2244" i="1"/>
  <c r="F2244" i="1"/>
  <c r="E2244" i="1"/>
  <c r="D2244" i="1"/>
  <c r="B2244" i="1"/>
  <c r="A2244" i="1"/>
  <c r="G2243" i="1"/>
  <c r="F2243" i="1"/>
  <c r="E2243" i="1"/>
  <c r="D2243" i="1"/>
  <c r="B2243" i="1"/>
  <c r="A2243" i="1"/>
  <c r="G2242" i="1"/>
  <c r="F2242" i="1"/>
  <c r="E2242" i="1"/>
  <c r="D2242" i="1"/>
  <c r="B2242" i="1"/>
  <c r="A2242" i="1"/>
  <c r="G2241" i="1"/>
  <c r="F2241" i="1"/>
  <c r="E2241" i="1"/>
  <c r="D2241" i="1"/>
  <c r="B2241" i="1"/>
  <c r="A2241" i="1"/>
  <c r="G2240" i="1"/>
  <c r="F2240" i="1"/>
  <c r="E2240" i="1"/>
  <c r="D2240" i="1"/>
  <c r="B2240" i="1"/>
  <c r="A2240" i="1"/>
  <c r="G2239" i="1"/>
  <c r="F2239" i="1"/>
  <c r="E2239" i="1"/>
  <c r="D2239" i="1"/>
  <c r="B2239" i="1"/>
  <c r="A2239" i="1"/>
  <c r="G2238" i="1"/>
  <c r="F2238" i="1"/>
  <c r="E2238" i="1"/>
  <c r="D2238" i="1"/>
  <c r="B2238" i="1"/>
  <c r="A2238" i="1"/>
  <c r="G2237" i="1"/>
  <c r="F2237" i="1"/>
  <c r="E2237" i="1"/>
  <c r="D2237" i="1"/>
  <c r="B2237" i="1"/>
  <c r="A2237" i="1"/>
  <c r="G2236" i="1"/>
  <c r="F2236" i="1"/>
  <c r="E2236" i="1"/>
  <c r="D2236" i="1"/>
  <c r="B2236" i="1"/>
  <c r="A2236" i="1"/>
  <c r="G2235" i="1"/>
  <c r="F2235" i="1"/>
  <c r="E2235" i="1"/>
  <c r="D2235" i="1"/>
  <c r="B2235" i="1"/>
  <c r="A2235" i="1"/>
  <c r="G2234" i="1"/>
  <c r="F2234" i="1"/>
  <c r="E2234" i="1"/>
  <c r="D2234" i="1"/>
  <c r="B2234" i="1"/>
  <c r="A2234" i="1"/>
  <c r="G2233" i="1"/>
  <c r="F2233" i="1"/>
  <c r="E2233" i="1"/>
  <c r="D2233" i="1"/>
  <c r="B2233" i="1"/>
  <c r="A2233" i="1"/>
  <c r="G2232" i="1"/>
  <c r="F2232" i="1"/>
  <c r="E2232" i="1"/>
  <c r="D2232" i="1"/>
  <c r="B2232" i="1"/>
  <c r="A2232" i="1"/>
  <c r="G2231" i="1"/>
  <c r="F2231" i="1"/>
  <c r="E2231" i="1"/>
  <c r="D2231" i="1"/>
  <c r="B2231" i="1"/>
  <c r="A2231" i="1"/>
  <c r="G2230" i="1"/>
  <c r="F2230" i="1"/>
  <c r="E2230" i="1"/>
  <c r="D2230" i="1"/>
  <c r="B2230" i="1"/>
  <c r="A2230" i="1"/>
  <c r="G2229" i="1"/>
  <c r="F2229" i="1"/>
  <c r="E2229" i="1"/>
  <c r="D2229" i="1"/>
  <c r="B2229" i="1"/>
  <c r="A2229" i="1"/>
  <c r="G2228" i="1"/>
  <c r="F2228" i="1"/>
  <c r="E2228" i="1"/>
  <c r="D2228" i="1"/>
  <c r="B2228" i="1"/>
  <c r="A2228" i="1"/>
  <c r="G2227" i="1"/>
  <c r="F2227" i="1"/>
  <c r="E2227" i="1"/>
  <c r="D2227" i="1"/>
  <c r="B2227" i="1"/>
  <c r="A2227" i="1"/>
  <c r="G2226" i="1"/>
  <c r="F2226" i="1"/>
  <c r="E2226" i="1"/>
  <c r="D2226" i="1"/>
  <c r="B2226" i="1"/>
  <c r="A2226" i="1"/>
  <c r="G2225" i="1"/>
  <c r="F2225" i="1"/>
  <c r="E2225" i="1"/>
  <c r="D2225" i="1"/>
  <c r="B2225" i="1"/>
  <c r="A2225" i="1"/>
  <c r="G2224" i="1"/>
  <c r="F2224" i="1"/>
  <c r="E2224" i="1"/>
  <c r="D2224" i="1"/>
  <c r="B2224" i="1"/>
  <c r="A2224" i="1"/>
  <c r="G2223" i="1"/>
  <c r="F2223" i="1"/>
  <c r="E2223" i="1"/>
  <c r="D2223" i="1"/>
  <c r="B2223" i="1"/>
  <c r="A2223" i="1"/>
  <c r="G2222" i="1"/>
  <c r="F2222" i="1"/>
  <c r="E2222" i="1"/>
  <c r="D2222" i="1"/>
  <c r="B2222" i="1"/>
  <c r="A2222" i="1"/>
  <c r="G2221" i="1"/>
  <c r="F2221" i="1"/>
  <c r="E2221" i="1"/>
  <c r="D2221" i="1"/>
  <c r="B2221" i="1"/>
  <c r="A2221" i="1"/>
  <c r="G2220" i="1"/>
  <c r="F2220" i="1"/>
  <c r="E2220" i="1"/>
  <c r="D2220" i="1"/>
  <c r="B2220" i="1"/>
  <c r="A2220" i="1"/>
  <c r="G2219" i="1"/>
  <c r="F2219" i="1"/>
  <c r="E2219" i="1"/>
  <c r="D2219" i="1"/>
  <c r="B2219" i="1"/>
  <c r="A2219" i="1"/>
  <c r="G2218" i="1"/>
  <c r="F2218" i="1"/>
  <c r="E2218" i="1"/>
  <c r="D2218" i="1"/>
  <c r="B2218" i="1"/>
  <c r="A2218" i="1"/>
  <c r="G2217" i="1"/>
  <c r="F2217" i="1"/>
  <c r="E2217" i="1"/>
  <c r="D2217" i="1"/>
  <c r="B2217" i="1"/>
  <c r="A2217" i="1"/>
  <c r="G2216" i="1"/>
  <c r="F2216" i="1"/>
  <c r="E2216" i="1"/>
  <c r="D2216" i="1"/>
  <c r="B2216" i="1"/>
  <c r="A2216" i="1"/>
  <c r="G2215" i="1"/>
  <c r="F2215" i="1"/>
  <c r="E2215" i="1"/>
  <c r="D2215" i="1"/>
  <c r="B2215" i="1"/>
  <c r="A2215" i="1"/>
  <c r="G2214" i="1"/>
  <c r="F2214" i="1"/>
  <c r="E2214" i="1"/>
  <c r="D2214" i="1"/>
  <c r="B2214" i="1"/>
  <c r="A2214" i="1"/>
  <c r="G2213" i="1"/>
  <c r="F2213" i="1"/>
  <c r="E2213" i="1"/>
  <c r="D2213" i="1"/>
  <c r="B2213" i="1"/>
  <c r="A2213" i="1"/>
  <c r="G2212" i="1"/>
  <c r="F2212" i="1"/>
  <c r="E2212" i="1"/>
  <c r="D2212" i="1"/>
  <c r="B2212" i="1"/>
  <c r="A2212" i="1"/>
  <c r="G2211" i="1"/>
  <c r="F2211" i="1"/>
  <c r="E2211" i="1"/>
  <c r="D2211" i="1"/>
  <c r="B2211" i="1"/>
  <c r="A2211" i="1"/>
  <c r="G2210" i="1"/>
  <c r="F2210" i="1"/>
  <c r="E2210" i="1"/>
  <c r="D2210" i="1"/>
  <c r="B2210" i="1"/>
  <c r="A2210" i="1"/>
  <c r="G2209" i="1"/>
  <c r="F2209" i="1"/>
  <c r="E2209" i="1"/>
  <c r="D2209" i="1"/>
  <c r="B2209" i="1"/>
  <c r="A2209" i="1"/>
  <c r="G2208" i="1"/>
  <c r="F2208" i="1"/>
  <c r="E2208" i="1"/>
  <c r="D2208" i="1"/>
  <c r="B2208" i="1"/>
  <c r="A2208" i="1"/>
  <c r="G2207" i="1"/>
  <c r="F2207" i="1"/>
  <c r="E2207" i="1"/>
  <c r="D2207" i="1"/>
  <c r="B2207" i="1"/>
  <c r="A2207" i="1"/>
  <c r="G2206" i="1"/>
  <c r="F2206" i="1"/>
  <c r="E2206" i="1"/>
  <c r="D2206" i="1"/>
  <c r="B2206" i="1"/>
  <c r="A2206" i="1"/>
  <c r="G2205" i="1"/>
  <c r="F2205" i="1"/>
  <c r="E2205" i="1"/>
  <c r="D2205" i="1"/>
  <c r="B2205" i="1"/>
  <c r="A2205" i="1"/>
  <c r="G2204" i="1"/>
  <c r="F2204" i="1"/>
  <c r="E2204" i="1"/>
  <c r="D2204" i="1"/>
  <c r="B2204" i="1"/>
  <c r="A2204" i="1"/>
  <c r="G2203" i="1"/>
  <c r="F2203" i="1"/>
  <c r="E2203" i="1"/>
  <c r="D2203" i="1"/>
  <c r="B2203" i="1"/>
  <c r="A2203" i="1"/>
  <c r="G2202" i="1"/>
  <c r="F2202" i="1"/>
  <c r="E2202" i="1"/>
  <c r="D2202" i="1"/>
  <c r="B2202" i="1"/>
  <c r="A2202" i="1"/>
  <c r="G2201" i="1"/>
  <c r="F2201" i="1"/>
  <c r="E2201" i="1"/>
  <c r="D2201" i="1"/>
  <c r="B2201" i="1"/>
  <c r="A2201" i="1"/>
  <c r="G2200" i="1"/>
  <c r="F2200" i="1"/>
  <c r="E2200" i="1"/>
  <c r="D2200" i="1"/>
  <c r="B2200" i="1"/>
  <c r="A2200" i="1"/>
  <c r="G2199" i="1"/>
  <c r="F2199" i="1"/>
  <c r="E2199" i="1"/>
  <c r="D2199" i="1"/>
  <c r="B2199" i="1"/>
  <c r="A2199" i="1"/>
  <c r="G2198" i="1"/>
  <c r="F2198" i="1"/>
  <c r="E2198" i="1"/>
  <c r="D2198" i="1"/>
  <c r="B2198" i="1"/>
  <c r="A2198" i="1"/>
  <c r="G2197" i="1"/>
  <c r="F2197" i="1"/>
  <c r="E2197" i="1"/>
  <c r="D2197" i="1"/>
  <c r="B2197" i="1"/>
  <c r="A2197" i="1"/>
  <c r="G2196" i="1"/>
  <c r="F2196" i="1"/>
  <c r="E2196" i="1"/>
  <c r="D2196" i="1"/>
  <c r="B2196" i="1"/>
  <c r="A2196" i="1"/>
  <c r="G2195" i="1"/>
  <c r="F2195" i="1"/>
  <c r="E2195" i="1"/>
  <c r="D2195" i="1"/>
  <c r="B2195" i="1"/>
  <c r="A2195" i="1"/>
  <c r="G2194" i="1"/>
  <c r="F2194" i="1"/>
  <c r="E2194" i="1"/>
  <c r="D2194" i="1"/>
  <c r="B2194" i="1"/>
  <c r="A2194" i="1"/>
  <c r="G2193" i="1"/>
  <c r="F2193" i="1"/>
  <c r="E2193" i="1"/>
  <c r="D2193" i="1"/>
  <c r="B2193" i="1"/>
  <c r="A2193" i="1"/>
  <c r="G2192" i="1"/>
  <c r="F2192" i="1"/>
  <c r="E2192" i="1"/>
  <c r="D2192" i="1"/>
  <c r="B2192" i="1"/>
  <c r="A2192" i="1"/>
  <c r="G2191" i="1"/>
  <c r="F2191" i="1"/>
  <c r="E2191" i="1"/>
  <c r="D2191" i="1"/>
  <c r="B2191" i="1"/>
  <c r="A2191" i="1"/>
  <c r="G2190" i="1"/>
  <c r="F2190" i="1"/>
  <c r="E2190" i="1"/>
  <c r="D2190" i="1"/>
  <c r="B2190" i="1"/>
  <c r="A2190" i="1"/>
  <c r="G2189" i="1"/>
  <c r="F2189" i="1"/>
  <c r="E2189" i="1"/>
  <c r="D2189" i="1"/>
  <c r="B2189" i="1"/>
  <c r="A2189" i="1"/>
  <c r="G2188" i="1"/>
  <c r="F2188" i="1"/>
  <c r="E2188" i="1"/>
  <c r="D2188" i="1"/>
  <c r="B2188" i="1"/>
  <c r="A2188" i="1"/>
  <c r="G2187" i="1"/>
  <c r="F2187" i="1"/>
  <c r="E2187" i="1"/>
  <c r="D2187" i="1"/>
  <c r="B2187" i="1"/>
  <c r="A2187" i="1"/>
  <c r="G2186" i="1"/>
  <c r="F2186" i="1"/>
  <c r="E2186" i="1"/>
  <c r="D2186" i="1"/>
  <c r="B2186" i="1"/>
  <c r="A2186" i="1"/>
  <c r="G2185" i="1"/>
  <c r="F2185" i="1"/>
  <c r="E2185" i="1"/>
  <c r="D2185" i="1"/>
  <c r="B2185" i="1"/>
  <c r="A2185" i="1"/>
  <c r="G2184" i="1"/>
  <c r="F2184" i="1"/>
  <c r="E2184" i="1"/>
  <c r="D2184" i="1"/>
  <c r="B2184" i="1"/>
  <c r="A2184" i="1"/>
  <c r="G2183" i="1"/>
  <c r="F2183" i="1"/>
  <c r="E2183" i="1"/>
  <c r="D2183" i="1"/>
  <c r="B2183" i="1"/>
  <c r="A2183" i="1"/>
  <c r="G2182" i="1"/>
  <c r="F2182" i="1"/>
  <c r="E2182" i="1"/>
  <c r="D2182" i="1"/>
  <c r="B2182" i="1"/>
  <c r="A2182" i="1"/>
  <c r="G2181" i="1"/>
  <c r="F2181" i="1"/>
  <c r="E2181" i="1"/>
  <c r="D2181" i="1"/>
  <c r="B2181" i="1"/>
  <c r="A2181" i="1"/>
  <c r="G2180" i="1"/>
  <c r="F2180" i="1"/>
  <c r="E2180" i="1"/>
  <c r="D2180" i="1"/>
  <c r="B2180" i="1"/>
  <c r="A2180" i="1"/>
  <c r="G2179" i="1"/>
  <c r="F2179" i="1"/>
  <c r="E2179" i="1"/>
  <c r="D2179" i="1"/>
  <c r="B2179" i="1"/>
  <c r="A2179" i="1"/>
  <c r="G2178" i="1"/>
  <c r="F2178" i="1"/>
  <c r="E2178" i="1"/>
  <c r="D2178" i="1"/>
  <c r="B2178" i="1"/>
  <c r="A2178" i="1"/>
  <c r="G2177" i="1"/>
  <c r="F2177" i="1"/>
  <c r="E2177" i="1"/>
  <c r="D2177" i="1"/>
  <c r="B2177" i="1"/>
  <c r="A2177" i="1"/>
  <c r="G2176" i="1"/>
  <c r="F2176" i="1"/>
  <c r="E2176" i="1"/>
  <c r="D2176" i="1"/>
  <c r="B2176" i="1"/>
  <c r="A2176" i="1"/>
  <c r="G2175" i="1"/>
  <c r="F2175" i="1"/>
  <c r="E2175" i="1"/>
  <c r="D2175" i="1"/>
  <c r="B2175" i="1"/>
  <c r="A2175" i="1"/>
  <c r="G2174" i="1"/>
  <c r="F2174" i="1"/>
  <c r="E2174" i="1"/>
  <c r="D2174" i="1"/>
  <c r="B2174" i="1"/>
  <c r="A2174" i="1"/>
  <c r="G2173" i="1"/>
  <c r="F2173" i="1"/>
  <c r="E2173" i="1"/>
  <c r="D2173" i="1"/>
  <c r="B2173" i="1"/>
  <c r="A2173" i="1"/>
  <c r="G2172" i="1"/>
  <c r="F2172" i="1"/>
  <c r="E2172" i="1"/>
  <c r="D2172" i="1"/>
  <c r="B2172" i="1"/>
  <c r="A2172" i="1"/>
  <c r="G2171" i="1"/>
  <c r="F2171" i="1"/>
  <c r="E2171" i="1"/>
  <c r="D2171" i="1"/>
  <c r="B2171" i="1"/>
  <c r="A2171" i="1"/>
  <c r="G2170" i="1"/>
  <c r="F2170" i="1"/>
  <c r="E2170" i="1"/>
  <c r="D2170" i="1"/>
  <c r="B2170" i="1"/>
  <c r="A2170" i="1"/>
  <c r="G2169" i="1"/>
  <c r="F2169" i="1"/>
  <c r="E2169" i="1"/>
  <c r="D2169" i="1"/>
  <c r="B2169" i="1"/>
  <c r="A2169" i="1"/>
  <c r="G2168" i="1"/>
  <c r="F2168" i="1"/>
  <c r="E2168" i="1"/>
  <c r="D2168" i="1"/>
  <c r="B2168" i="1"/>
  <c r="A2168" i="1"/>
  <c r="G2167" i="1"/>
  <c r="F2167" i="1"/>
  <c r="E2167" i="1"/>
  <c r="D2167" i="1"/>
  <c r="B2167" i="1"/>
  <c r="A2167" i="1"/>
  <c r="G2166" i="1"/>
  <c r="F2166" i="1"/>
  <c r="E2166" i="1"/>
  <c r="D2166" i="1"/>
  <c r="B2166" i="1"/>
  <c r="A2166" i="1"/>
  <c r="G2165" i="1"/>
  <c r="F2165" i="1"/>
  <c r="E2165" i="1"/>
  <c r="D2165" i="1"/>
  <c r="B2165" i="1"/>
  <c r="A2165" i="1"/>
  <c r="G2164" i="1"/>
  <c r="F2164" i="1"/>
  <c r="E2164" i="1"/>
  <c r="D2164" i="1"/>
  <c r="B2164" i="1"/>
  <c r="A2164" i="1"/>
  <c r="G2163" i="1"/>
  <c r="F2163" i="1"/>
  <c r="E2163" i="1"/>
  <c r="D2163" i="1"/>
  <c r="B2163" i="1"/>
  <c r="A2163" i="1"/>
  <c r="G2162" i="1"/>
  <c r="F2162" i="1"/>
  <c r="E2162" i="1"/>
  <c r="D2162" i="1"/>
  <c r="B2162" i="1"/>
  <c r="A2162" i="1"/>
  <c r="G2161" i="1"/>
  <c r="F2161" i="1"/>
  <c r="E2161" i="1"/>
  <c r="D2161" i="1"/>
  <c r="B2161" i="1"/>
  <c r="A2161" i="1"/>
  <c r="G2160" i="1"/>
  <c r="F2160" i="1"/>
  <c r="E2160" i="1"/>
  <c r="D2160" i="1"/>
  <c r="B2160" i="1"/>
  <c r="A2160" i="1"/>
  <c r="G2159" i="1"/>
  <c r="F2159" i="1"/>
  <c r="E2159" i="1"/>
  <c r="D2159" i="1"/>
  <c r="B2159" i="1"/>
  <c r="A2159" i="1"/>
  <c r="G2158" i="1"/>
  <c r="F2158" i="1"/>
  <c r="E2158" i="1"/>
  <c r="D2158" i="1"/>
  <c r="B2158" i="1"/>
  <c r="A2158" i="1"/>
  <c r="G2157" i="1"/>
  <c r="F2157" i="1"/>
  <c r="E2157" i="1"/>
  <c r="D2157" i="1"/>
  <c r="B2157" i="1"/>
  <c r="A2157" i="1"/>
  <c r="G2156" i="1"/>
  <c r="F2156" i="1"/>
  <c r="E2156" i="1"/>
  <c r="D2156" i="1"/>
  <c r="B2156" i="1"/>
  <c r="A2156" i="1"/>
  <c r="G2155" i="1"/>
  <c r="F2155" i="1"/>
  <c r="E2155" i="1"/>
  <c r="D2155" i="1"/>
  <c r="B2155" i="1"/>
  <c r="A2155" i="1"/>
  <c r="G2154" i="1"/>
  <c r="F2154" i="1"/>
  <c r="E2154" i="1"/>
  <c r="D2154" i="1"/>
  <c r="B2154" i="1"/>
  <c r="A2154" i="1"/>
  <c r="G2153" i="1"/>
  <c r="F2153" i="1"/>
  <c r="E2153" i="1"/>
  <c r="D2153" i="1"/>
  <c r="B2153" i="1"/>
  <c r="A2153" i="1"/>
  <c r="G2152" i="1"/>
  <c r="F2152" i="1"/>
  <c r="E2152" i="1"/>
  <c r="D2152" i="1"/>
  <c r="B2152" i="1"/>
  <c r="A2152" i="1"/>
  <c r="G2151" i="1"/>
  <c r="F2151" i="1"/>
  <c r="E2151" i="1"/>
  <c r="D2151" i="1"/>
  <c r="B2151" i="1"/>
  <c r="A2151" i="1"/>
  <c r="G2150" i="1"/>
  <c r="F2150" i="1"/>
  <c r="E2150" i="1"/>
  <c r="D2150" i="1"/>
  <c r="B2150" i="1"/>
  <c r="A2150" i="1"/>
  <c r="G2149" i="1"/>
  <c r="F2149" i="1"/>
  <c r="E2149" i="1"/>
  <c r="D2149" i="1"/>
  <c r="B2149" i="1"/>
  <c r="A2149" i="1"/>
  <c r="G2148" i="1"/>
  <c r="F2148" i="1"/>
  <c r="E2148" i="1"/>
  <c r="D2148" i="1"/>
  <c r="B2148" i="1"/>
  <c r="A2148" i="1"/>
  <c r="G2147" i="1"/>
  <c r="F2147" i="1"/>
  <c r="E2147" i="1"/>
  <c r="D2147" i="1"/>
  <c r="B2147" i="1"/>
  <c r="A2147" i="1"/>
  <c r="G2146" i="1"/>
  <c r="F2146" i="1"/>
  <c r="E2146" i="1"/>
  <c r="D2146" i="1"/>
  <c r="B2146" i="1"/>
  <c r="A2146" i="1"/>
  <c r="G2145" i="1"/>
  <c r="F2145" i="1"/>
  <c r="E2145" i="1"/>
  <c r="D2145" i="1"/>
  <c r="B2145" i="1"/>
  <c r="A2145" i="1"/>
  <c r="G2144" i="1"/>
  <c r="F2144" i="1"/>
  <c r="E2144" i="1"/>
  <c r="D2144" i="1"/>
  <c r="B2144" i="1"/>
  <c r="A2144" i="1"/>
  <c r="G2143" i="1"/>
  <c r="F2143" i="1"/>
  <c r="E2143" i="1"/>
  <c r="D2143" i="1"/>
  <c r="B2143" i="1"/>
  <c r="A2143" i="1"/>
  <c r="G2142" i="1"/>
  <c r="F2142" i="1"/>
  <c r="E2142" i="1"/>
  <c r="D2142" i="1"/>
  <c r="B2142" i="1"/>
  <c r="A2142" i="1"/>
  <c r="G2141" i="1"/>
  <c r="F2141" i="1"/>
  <c r="E2141" i="1"/>
  <c r="D2141" i="1"/>
  <c r="B2141" i="1"/>
  <c r="A2141" i="1"/>
  <c r="G2140" i="1"/>
  <c r="F2140" i="1"/>
  <c r="E2140" i="1"/>
  <c r="D2140" i="1"/>
  <c r="B2140" i="1"/>
  <c r="A2140" i="1"/>
  <c r="G2139" i="1"/>
  <c r="F2139" i="1"/>
  <c r="E2139" i="1"/>
  <c r="D2139" i="1"/>
  <c r="B2139" i="1"/>
  <c r="A2139" i="1"/>
  <c r="G2138" i="1"/>
  <c r="F2138" i="1"/>
  <c r="E2138" i="1"/>
  <c r="D2138" i="1"/>
  <c r="B2138" i="1"/>
  <c r="A2138" i="1"/>
  <c r="G2137" i="1"/>
  <c r="F2137" i="1"/>
  <c r="E2137" i="1"/>
  <c r="D2137" i="1"/>
  <c r="B2137" i="1"/>
  <c r="A2137" i="1"/>
  <c r="G2136" i="1"/>
  <c r="F2136" i="1"/>
  <c r="E2136" i="1"/>
  <c r="D2136" i="1"/>
  <c r="B2136" i="1"/>
  <c r="A2136" i="1"/>
  <c r="G2135" i="1"/>
  <c r="F2135" i="1"/>
  <c r="E2135" i="1"/>
  <c r="D2135" i="1"/>
  <c r="B2135" i="1"/>
  <c r="A2135" i="1"/>
  <c r="G2134" i="1"/>
  <c r="F2134" i="1"/>
  <c r="E2134" i="1"/>
  <c r="D2134" i="1"/>
  <c r="B2134" i="1"/>
  <c r="A2134" i="1"/>
  <c r="G2133" i="1"/>
  <c r="F2133" i="1"/>
  <c r="E2133" i="1"/>
  <c r="D2133" i="1"/>
  <c r="B2133" i="1"/>
  <c r="A2133" i="1"/>
  <c r="G2132" i="1"/>
  <c r="F2132" i="1"/>
  <c r="E2132" i="1"/>
  <c r="D2132" i="1"/>
  <c r="B2132" i="1"/>
  <c r="A2132" i="1"/>
  <c r="G2131" i="1"/>
  <c r="F2131" i="1"/>
  <c r="E2131" i="1"/>
  <c r="D2131" i="1"/>
  <c r="B2131" i="1"/>
  <c r="A2131" i="1"/>
  <c r="G2130" i="1"/>
  <c r="F2130" i="1"/>
  <c r="E2130" i="1"/>
  <c r="D2130" i="1"/>
  <c r="B2130" i="1"/>
  <c r="A2130" i="1"/>
  <c r="G2129" i="1"/>
  <c r="F2129" i="1"/>
  <c r="E2129" i="1"/>
  <c r="D2129" i="1"/>
  <c r="B2129" i="1"/>
  <c r="A2129" i="1"/>
  <c r="G2128" i="1"/>
  <c r="F2128" i="1"/>
  <c r="E2128" i="1"/>
  <c r="D2128" i="1"/>
  <c r="B2128" i="1"/>
  <c r="A2128" i="1"/>
  <c r="G2127" i="1"/>
  <c r="F2127" i="1"/>
  <c r="E2127" i="1"/>
  <c r="D2127" i="1"/>
  <c r="B2127" i="1"/>
  <c r="A2127" i="1"/>
  <c r="G2126" i="1"/>
  <c r="F2126" i="1"/>
  <c r="E2126" i="1"/>
  <c r="D2126" i="1"/>
  <c r="B2126" i="1"/>
  <c r="A2126" i="1"/>
  <c r="G2125" i="1"/>
  <c r="F2125" i="1"/>
  <c r="E2125" i="1"/>
  <c r="D2125" i="1"/>
  <c r="B2125" i="1"/>
  <c r="A2125" i="1"/>
  <c r="G2124" i="1"/>
  <c r="F2124" i="1"/>
  <c r="E2124" i="1"/>
  <c r="D2124" i="1"/>
  <c r="B2124" i="1"/>
  <c r="A2124" i="1"/>
  <c r="G2123" i="1"/>
  <c r="F2123" i="1"/>
  <c r="E2123" i="1"/>
  <c r="D2123" i="1"/>
  <c r="B2123" i="1"/>
  <c r="A2123" i="1"/>
  <c r="G2122" i="1"/>
  <c r="F2122" i="1"/>
  <c r="E2122" i="1"/>
  <c r="D2122" i="1"/>
  <c r="B2122" i="1"/>
  <c r="A2122" i="1"/>
  <c r="G2121" i="1"/>
  <c r="F2121" i="1"/>
  <c r="E2121" i="1"/>
  <c r="D2121" i="1"/>
  <c r="B2121" i="1"/>
  <c r="A2121" i="1"/>
  <c r="G2120" i="1"/>
  <c r="F2120" i="1"/>
  <c r="E2120" i="1"/>
  <c r="D2120" i="1"/>
  <c r="B2120" i="1"/>
  <c r="A2120" i="1"/>
  <c r="G2119" i="1"/>
  <c r="F2119" i="1"/>
  <c r="E2119" i="1"/>
  <c r="D2119" i="1"/>
  <c r="B2119" i="1"/>
  <c r="A2119" i="1"/>
  <c r="G2118" i="1"/>
  <c r="F2118" i="1"/>
  <c r="E2118" i="1"/>
  <c r="D2118" i="1"/>
  <c r="B2118" i="1"/>
  <c r="A2118" i="1"/>
  <c r="G2117" i="1"/>
  <c r="F2117" i="1"/>
  <c r="E2117" i="1"/>
  <c r="D2117" i="1"/>
  <c r="B2117" i="1"/>
  <c r="A2117" i="1"/>
  <c r="G2116" i="1"/>
  <c r="F2116" i="1"/>
  <c r="E2116" i="1"/>
  <c r="D2116" i="1"/>
  <c r="B2116" i="1"/>
  <c r="A2116" i="1"/>
  <c r="G2115" i="1"/>
  <c r="F2115" i="1"/>
  <c r="E2115" i="1"/>
  <c r="D2115" i="1"/>
  <c r="B2115" i="1"/>
  <c r="A2115" i="1"/>
  <c r="G2114" i="1"/>
  <c r="F2114" i="1"/>
  <c r="E2114" i="1"/>
  <c r="D2114" i="1"/>
  <c r="B2114" i="1"/>
  <c r="A2114" i="1"/>
  <c r="G2113" i="1"/>
  <c r="F2113" i="1"/>
  <c r="E2113" i="1"/>
  <c r="D2113" i="1"/>
  <c r="B2113" i="1"/>
  <c r="A2113" i="1"/>
  <c r="G2112" i="1"/>
  <c r="F2112" i="1"/>
  <c r="E2112" i="1"/>
  <c r="D2112" i="1"/>
  <c r="B2112" i="1"/>
  <c r="A2112" i="1"/>
  <c r="G2111" i="1"/>
  <c r="F2111" i="1"/>
  <c r="E2111" i="1"/>
  <c r="D2111" i="1"/>
  <c r="B2111" i="1"/>
  <c r="A2111" i="1"/>
  <c r="G2110" i="1"/>
  <c r="F2110" i="1"/>
  <c r="E2110" i="1"/>
  <c r="D2110" i="1"/>
  <c r="B2110" i="1"/>
  <c r="A2110" i="1"/>
  <c r="G2109" i="1"/>
  <c r="F2109" i="1"/>
  <c r="E2109" i="1"/>
  <c r="D2109" i="1"/>
  <c r="B2109" i="1"/>
  <c r="A2109" i="1"/>
  <c r="G2108" i="1"/>
  <c r="F2108" i="1"/>
  <c r="E2108" i="1"/>
  <c r="D2108" i="1"/>
  <c r="B2108" i="1"/>
  <c r="A2108" i="1"/>
  <c r="G2107" i="1"/>
  <c r="F2107" i="1"/>
  <c r="E2107" i="1"/>
  <c r="D2107" i="1"/>
  <c r="B2107" i="1"/>
  <c r="A2107" i="1"/>
  <c r="G2106" i="1"/>
  <c r="F2106" i="1"/>
  <c r="E2106" i="1"/>
  <c r="D2106" i="1"/>
  <c r="B2106" i="1"/>
  <c r="A2106" i="1"/>
  <c r="G2105" i="1"/>
  <c r="F2105" i="1"/>
  <c r="E2105" i="1"/>
  <c r="D2105" i="1"/>
  <c r="B2105" i="1"/>
  <c r="A2105" i="1"/>
  <c r="G2104" i="1"/>
  <c r="F2104" i="1"/>
  <c r="E2104" i="1"/>
  <c r="D2104" i="1"/>
  <c r="B2104" i="1"/>
  <c r="A2104" i="1"/>
  <c r="G2103" i="1"/>
  <c r="F2103" i="1"/>
  <c r="E2103" i="1"/>
  <c r="D2103" i="1"/>
  <c r="B2103" i="1"/>
  <c r="A2103" i="1"/>
  <c r="G2102" i="1"/>
  <c r="F2102" i="1"/>
  <c r="E2102" i="1"/>
  <c r="D2102" i="1"/>
  <c r="B2102" i="1"/>
  <c r="A2102" i="1"/>
  <c r="G2101" i="1"/>
  <c r="F2101" i="1"/>
  <c r="E2101" i="1"/>
  <c r="D2101" i="1"/>
  <c r="B2101" i="1"/>
  <c r="A2101" i="1"/>
  <c r="G2100" i="1"/>
  <c r="F2100" i="1"/>
  <c r="E2100" i="1"/>
  <c r="D2100" i="1"/>
  <c r="B2100" i="1"/>
  <c r="A2100" i="1"/>
  <c r="G2099" i="1"/>
  <c r="F2099" i="1"/>
  <c r="E2099" i="1"/>
  <c r="D2099" i="1"/>
  <c r="B2099" i="1"/>
  <c r="A2099" i="1"/>
  <c r="G2098" i="1"/>
  <c r="F2098" i="1"/>
  <c r="E2098" i="1"/>
  <c r="D2098" i="1"/>
  <c r="B2098" i="1"/>
  <c r="A2098" i="1"/>
  <c r="G2097" i="1"/>
  <c r="F2097" i="1"/>
  <c r="E2097" i="1"/>
  <c r="D2097" i="1"/>
  <c r="B2097" i="1"/>
  <c r="A2097" i="1"/>
  <c r="G2096" i="1"/>
  <c r="F2096" i="1"/>
  <c r="E2096" i="1"/>
  <c r="D2096" i="1"/>
  <c r="B2096" i="1"/>
  <c r="A2096" i="1"/>
  <c r="G2095" i="1"/>
  <c r="F2095" i="1"/>
  <c r="E2095" i="1"/>
  <c r="D2095" i="1"/>
  <c r="B2095" i="1"/>
  <c r="A2095" i="1"/>
  <c r="G2094" i="1"/>
  <c r="F2094" i="1"/>
  <c r="E2094" i="1"/>
  <c r="D2094" i="1"/>
  <c r="B2094" i="1"/>
  <c r="A2094" i="1"/>
  <c r="G2093" i="1"/>
  <c r="F2093" i="1"/>
  <c r="E2093" i="1"/>
  <c r="D2093" i="1"/>
  <c r="B2093" i="1"/>
  <c r="A2093" i="1"/>
  <c r="G2092" i="1"/>
  <c r="F2092" i="1"/>
  <c r="E2092" i="1"/>
  <c r="D2092" i="1"/>
  <c r="B2092" i="1"/>
  <c r="A2092" i="1"/>
  <c r="G2091" i="1"/>
  <c r="F2091" i="1"/>
  <c r="E2091" i="1"/>
  <c r="D2091" i="1"/>
  <c r="B2091" i="1"/>
  <c r="A2091" i="1"/>
  <c r="G2090" i="1"/>
  <c r="F2090" i="1"/>
  <c r="E2090" i="1"/>
  <c r="D2090" i="1"/>
  <c r="B2090" i="1"/>
  <c r="A2090" i="1"/>
  <c r="G2089" i="1"/>
  <c r="F2089" i="1"/>
  <c r="E2089" i="1"/>
  <c r="D2089" i="1"/>
  <c r="B2089" i="1"/>
  <c r="A2089" i="1"/>
  <c r="G2088" i="1"/>
  <c r="F2088" i="1"/>
  <c r="E2088" i="1"/>
  <c r="D2088" i="1"/>
  <c r="B2088" i="1"/>
  <c r="A2088" i="1"/>
  <c r="G2087" i="1"/>
  <c r="F2087" i="1"/>
  <c r="E2087" i="1"/>
  <c r="D2087" i="1"/>
  <c r="B2087" i="1"/>
  <c r="A2087" i="1"/>
  <c r="G2086" i="1"/>
  <c r="F2086" i="1"/>
  <c r="E2086" i="1"/>
  <c r="D2086" i="1"/>
  <c r="B2086" i="1"/>
  <c r="A2086" i="1"/>
  <c r="G2085" i="1"/>
  <c r="F2085" i="1"/>
  <c r="E2085" i="1"/>
  <c r="D2085" i="1"/>
  <c r="B2085" i="1"/>
  <c r="A2085" i="1"/>
  <c r="G2084" i="1"/>
  <c r="F2084" i="1"/>
  <c r="E2084" i="1"/>
  <c r="D2084" i="1"/>
  <c r="B2084" i="1"/>
  <c r="A2084" i="1"/>
  <c r="G2083" i="1"/>
  <c r="F2083" i="1"/>
  <c r="E2083" i="1"/>
  <c r="D2083" i="1"/>
  <c r="B2083" i="1"/>
  <c r="A2083" i="1"/>
  <c r="G2082" i="1"/>
  <c r="F2082" i="1"/>
  <c r="E2082" i="1"/>
  <c r="D2082" i="1"/>
  <c r="B2082" i="1"/>
  <c r="A2082" i="1"/>
  <c r="G2081" i="1"/>
  <c r="F2081" i="1"/>
  <c r="E2081" i="1"/>
  <c r="D2081" i="1"/>
  <c r="B2081" i="1"/>
  <c r="A2081" i="1"/>
  <c r="G2080" i="1"/>
  <c r="F2080" i="1"/>
  <c r="E2080" i="1"/>
  <c r="D2080" i="1"/>
  <c r="B2080" i="1"/>
  <c r="A2080" i="1"/>
  <c r="G2079" i="1"/>
  <c r="F2079" i="1"/>
  <c r="E2079" i="1"/>
  <c r="D2079" i="1"/>
  <c r="B2079" i="1"/>
  <c r="A2079" i="1"/>
  <c r="G2078" i="1"/>
  <c r="F2078" i="1"/>
  <c r="E2078" i="1"/>
  <c r="D2078" i="1"/>
  <c r="B2078" i="1"/>
  <c r="A2078" i="1"/>
  <c r="G2077" i="1"/>
  <c r="F2077" i="1"/>
  <c r="E2077" i="1"/>
  <c r="D2077" i="1"/>
  <c r="B2077" i="1"/>
  <c r="A2077" i="1"/>
  <c r="G2076" i="1"/>
  <c r="F2076" i="1"/>
  <c r="E2076" i="1"/>
  <c r="D2076" i="1"/>
  <c r="B2076" i="1"/>
  <c r="A2076" i="1"/>
  <c r="G2075" i="1"/>
  <c r="F2075" i="1"/>
  <c r="E2075" i="1"/>
  <c r="D2075" i="1"/>
  <c r="B2075" i="1"/>
  <c r="A2075" i="1"/>
  <c r="G2074" i="1"/>
  <c r="F2074" i="1"/>
  <c r="E2074" i="1"/>
  <c r="D2074" i="1"/>
  <c r="B2074" i="1"/>
  <c r="A2074" i="1"/>
  <c r="G2073" i="1"/>
  <c r="F2073" i="1"/>
  <c r="E2073" i="1"/>
  <c r="D2073" i="1"/>
  <c r="B2073" i="1"/>
  <c r="A2073" i="1"/>
  <c r="G2072" i="1"/>
  <c r="F2072" i="1"/>
  <c r="E2072" i="1"/>
  <c r="D2072" i="1"/>
  <c r="B2072" i="1"/>
  <c r="A2072" i="1"/>
  <c r="G2071" i="1"/>
  <c r="F2071" i="1"/>
  <c r="E2071" i="1"/>
  <c r="D2071" i="1"/>
  <c r="B2071" i="1"/>
  <c r="A2071" i="1"/>
  <c r="G2070" i="1"/>
  <c r="F2070" i="1"/>
  <c r="E2070" i="1"/>
  <c r="D2070" i="1"/>
  <c r="B2070" i="1"/>
  <c r="A2070" i="1"/>
  <c r="G2069" i="1"/>
  <c r="F2069" i="1"/>
  <c r="E2069" i="1"/>
  <c r="D2069" i="1"/>
  <c r="B2069" i="1"/>
  <c r="A2069" i="1"/>
  <c r="G2068" i="1"/>
  <c r="F2068" i="1"/>
  <c r="E2068" i="1"/>
  <c r="D2068" i="1"/>
  <c r="B2068" i="1"/>
  <c r="A2068" i="1"/>
  <c r="G2067" i="1"/>
  <c r="F2067" i="1"/>
  <c r="E2067" i="1"/>
  <c r="D2067" i="1"/>
  <c r="B2067" i="1"/>
  <c r="A2067" i="1"/>
  <c r="G2066" i="1"/>
  <c r="F2066" i="1"/>
  <c r="E2066" i="1"/>
  <c r="D2066" i="1"/>
  <c r="B2066" i="1"/>
  <c r="A2066" i="1"/>
  <c r="G2065" i="1"/>
  <c r="F2065" i="1"/>
  <c r="E2065" i="1"/>
  <c r="D2065" i="1"/>
  <c r="B2065" i="1"/>
  <c r="A2065" i="1"/>
  <c r="G2064" i="1"/>
  <c r="F2064" i="1"/>
  <c r="E2064" i="1"/>
  <c r="D2064" i="1"/>
  <c r="B2064" i="1"/>
  <c r="A2064" i="1"/>
  <c r="G2063" i="1"/>
  <c r="F2063" i="1"/>
  <c r="E2063" i="1"/>
  <c r="D2063" i="1"/>
  <c r="B2063" i="1"/>
  <c r="A2063" i="1"/>
  <c r="G2062" i="1"/>
  <c r="F2062" i="1"/>
  <c r="E2062" i="1"/>
  <c r="D2062" i="1"/>
  <c r="B2062" i="1"/>
  <c r="A2062" i="1"/>
  <c r="G2061" i="1"/>
  <c r="F2061" i="1"/>
  <c r="E2061" i="1"/>
  <c r="D2061" i="1"/>
  <c r="B2061" i="1"/>
  <c r="A2061" i="1"/>
  <c r="G2060" i="1"/>
  <c r="F2060" i="1"/>
  <c r="E2060" i="1"/>
  <c r="D2060" i="1"/>
  <c r="B2060" i="1"/>
  <c r="A2060" i="1"/>
  <c r="G2059" i="1"/>
  <c r="F2059" i="1"/>
  <c r="E2059" i="1"/>
  <c r="D2059" i="1"/>
  <c r="B2059" i="1"/>
  <c r="A2059" i="1"/>
  <c r="G2058" i="1"/>
  <c r="F2058" i="1"/>
  <c r="E2058" i="1"/>
  <c r="D2058" i="1"/>
  <c r="B2058" i="1"/>
  <c r="A2058" i="1"/>
  <c r="G2057" i="1"/>
  <c r="F2057" i="1"/>
  <c r="E2057" i="1"/>
  <c r="D2057" i="1"/>
  <c r="B2057" i="1"/>
  <c r="A2057" i="1"/>
  <c r="G2056" i="1"/>
  <c r="F2056" i="1"/>
  <c r="E2056" i="1"/>
  <c r="D2056" i="1"/>
  <c r="B2056" i="1"/>
  <c r="A2056" i="1"/>
  <c r="G2055" i="1"/>
  <c r="F2055" i="1"/>
  <c r="E2055" i="1"/>
  <c r="D2055" i="1"/>
  <c r="B2055" i="1"/>
  <c r="A2055" i="1"/>
  <c r="G2054" i="1"/>
  <c r="F2054" i="1"/>
  <c r="E2054" i="1"/>
  <c r="D2054" i="1"/>
  <c r="B2054" i="1"/>
  <c r="A2054" i="1"/>
  <c r="G2053" i="1"/>
  <c r="F2053" i="1"/>
  <c r="E2053" i="1"/>
  <c r="D2053" i="1"/>
  <c r="B2053" i="1"/>
  <c r="A2053" i="1"/>
  <c r="G2052" i="1"/>
  <c r="F2052" i="1"/>
  <c r="E2052" i="1"/>
  <c r="D2052" i="1"/>
  <c r="B2052" i="1"/>
  <c r="A2052" i="1"/>
  <c r="G2051" i="1"/>
  <c r="F2051" i="1"/>
  <c r="E2051" i="1"/>
  <c r="D2051" i="1"/>
  <c r="B2051" i="1"/>
  <c r="A2051" i="1"/>
  <c r="G2050" i="1"/>
  <c r="F2050" i="1"/>
  <c r="E2050" i="1"/>
  <c r="D2050" i="1"/>
  <c r="B2050" i="1"/>
  <c r="A2050" i="1"/>
  <c r="G2049" i="1"/>
  <c r="F2049" i="1"/>
  <c r="E2049" i="1"/>
  <c r="D2049" i="1"/>
  <c r="B2049" i="1"/>
  <c r="A2049" i="1"/>
  <c r="G2048" i="1"/>
  <c r="F2048" i="1"/>
  <c r="E2048" i="1"/>
  <c r="D2048" i="1"/>
  <c r="B2048" i="1"/>
  <c r="A2048" i="1"/>
  <c r="G2047" i="1"/>
  <c r="F2047" i="1"/>
  <c r="E2047" i="1"/>
  <c r="D2047" i="1"/>
  <c r="B2047" i="1"/>
  <c r="A2047" i="1"/>
  <c r="G2046" i="1"/>
  <c r="F2046" i="1"/>
  <c r="E2046" i="1"/>
  <c r="D2046" i="1"/>
  <c r="B2046" i="1"/>
  <c r="A2046" i="1"/>
  <c r="G2045" i="1"/>
  <c r="F2045" i="1"/>
  <c r="E2045" i="1"/>
  <c r="D2045" i="1"/>
  <c r="B2045" i="1"/>
  <c r="A2045" i="1"/>
  <c r="G2044" i="1"/>
  <c r="F2044" i="1"/>
  <c r="E2044" i="1"/>
  <c r="D2044" i="1"/>
  <c r="B2044" i="1"/>
  <c r="A2044" i="1"/>
  <c r="G2043" i="1"/>
  <c r="F2043" i="1"/>
  <c r="E2043" i="1"/>
  <c r="D2043" i="1"/>
  <c r="B2043" i="1"/>
  <c r="A2043" i="1"/>
  <c r="G2042" i="1"/>
  <c r="F2042" i="1"/>
  <c r="E2042" i="1"/>
  <c r="D2042" i="1"/>
  <c r="B2042" i="1"/>
  <c r="A2042" i="1"/>
  <c r="G2041" i="1"/>
  <c r="F2041" i="1"/>
  <c r="E2041" i="1"/>
  <c r="D2041" i="1"/>
  <c r="B2041" i="1"/>
  <c r="A2041" i="1"/>
  <c r="G2040" i="1"/>
  <c r="F2040" i="1"/>
  <c r="E2040" i="1"/>
  <c r="D2040" i="1"/>
  <c r="B2040" i="1"/>
  <c r="A2040" i="1"/>
  <c r="G2039" i="1"/>
  <c r="F2039" i="1"/>
  <c r="E2039" i="1"/>
  <c r="D2039" i="1"/>
  <c r="B2039" i="1"/>
  <c r="A2039" i="1"/>
  <c r="G2038" i="1"/>
  <c r="F2038" i="1"/>
  <c r="E2038" i="1"/>
  <c r="D2038" i="1"/>
  <c r="B2038" i="1"/>
  <c r="A2038" i="1"/>
  <c r="G2037" i="1"/>
  <c r="F2037" i="1"/>
  <c r="E2037" i="1"/>
  <c r="D2037" i="1"/>
  <c r="B2037" i="1"/>
  <c r="A2037" i="1"/>
  <c r="G2036" i="1"/>
  <c r="F2036" i="1"/>
  <c r="E2036" i="1"/>
  <c r="D2036" i="1"/>
  <c r="B2036" i="1"/>
  <c r="A2036" i="1"/>
  <c r="G2035" i="1"/>
  <c r="F2035" i="1"/>
  <c r="E2035" i="1"/>
  <c r="D2035" i="1"/>
  <c r="B2035" i="1"/>
  <c r="A2035" i="1"/>
  <c r="G2034" i="1"/>
  <c r="F2034" i="1"/>
  <c r="E2034" i="1"/>
  <c r="D2034" i="1"/>
  <c r="B2034" i="1"/>
  <c r="A2034" i="1"/>
  <c r="G2033" i="1"/>
  <c r="F2033" i="1"/>
  <c r="E2033" i="1"/>
  <c r="D2033" i="1"/>
  <c r="B2033" i="1"/>
  <c r="A2033" i="1"/>
  <c r="G2032" i="1"/>
  <c r="F2032" i="1"/>
  <c r="E2032" i="1"/>
  <c r="D2032" i="1"/>
  <c r="B2032" i="1"/>
  <c r="A2032" i="1"/>
  <c r="G2031" i="1"/>
  <c r="F2031" i="1"/>
  <c r="E2031" i="1"/>
  <c r="D2031" i="1"/>
  <c r="B2031" i="1"/>
  <c r="A2031" i="1"/>
  <c r="G2030" i="1"/>
  <c r="F2030" i="1"/>
  <c r="E2030" i="1"/>
  <c r="D2030" i="1"/>
  <c r="B2030" i="1"/>
  <c r="A2030" i="1"/>
  <c r="G2029" i="1"/>
  <c r="F2029" i="1"/>
  <c r="E2029" i="1"/>
  <c r="D2029" i="1"/>
  <c r="B2029" i="1"/>
  <c r="A2029" i="1"/>
  <c r="G2028" i="1"/>
  <c r="F2028" i="1"/>
  <c r="E2028" i="1"/>
  <c r="D2028" i="1"/>
  <c r="B2028" i="1"/>
  <c r="A2028" i="1"/>
  <c r="G2027" i="1"/>
  <c r="F2027" i="1"/>
  <c r="E2027" i="1"/>
  <c r="D2027" i="1"/>
  <c r="B2027" i="1"/>
  <c r="A2027" i="1"/>
  <c r="G2026" i="1"/>
  <c r="F2026" i="1"/>
  <c r="E2026" i="1"/>
  <c r="D2026" i="1"/>
  <c r="B2026" i="1"/>
  <c r="A2026" i="1"/>
  <c r="G2025" i="1"/>
  <c r="F2025" i="1"/>
  <c r="E2025" i="1"/>
  <c r="D2025" i="1"/>
  <c r="B2025" i="1"/>
  <c r="A2025" i="1"/>
  <c r="G2024" i="1"/>
  <c r="F2024" i="1"/>
  <c r="E2024" i="1"/>
  <c r="D2024" i="1"/>
  <c r="B2024" i="1"/>
  <c r="A2024" i="1"/>
  <c r="G2023" i="1"/>
  <c r="F2023" i="1"/>
  <c r="E2023" i="1"/>
  <c r="D2023" i="1"/>
  <c r="B2023" i="1"/>
  <c r="G2022" i="1"/>
  <c r="F2022" i="1"/>
  <c r="E2022" i="1"/>
  <c r="D2022" i="1"/>
  <c r="B2022" i="1"/>
  <c r="A2022" i="1"/>
  <c r="G2021" i="1"/>
  <c r="F2021" i="1"/>
  <c r="E2021" i="1"/>
  <c r="D2021" i="1"/>
  <c r="B2021" i="1"/>
  <c r="A2021" i="1"/>
  <c r="G2020" i="1"/>
  <c r="F2020" i="1"/>
  <c r="E2020" i="1"/>
  <c r="D2020" i="1"/>
  <c r="B2020" i="1"/>
  <c r="A2020" i="1"/>
  <c r="G2019" i="1"/>
  <c r="F2019" i="1"/>
  <c r="E2019" i="1"/>
  <c r="D2019" i="1"/>
  <c r="B2019" i="1"/>
  <c r="A2019" i="1"/>
  <c r="G2018" i="1"/>
  <c r="F2018" i="1"/>
  <c r="E2018" i="1"/>
  <c r="D2018" i="1"/>
  <c r="B2018" i="1"/>
  <c r="A2018" i="1"/>
  <c r="G2017" i="1"/>
  <c r="F2017" i="1"/>
  <c r="E2017" i="1"/>
  <c r="D2017" i="1"/>
  <c r="B2017" i="1"/>
  <c r="A2017" i="1"/>
  <c r="G2016" i="1"/>
  <c r="F2016" i="1"/>
  <c r="E2016" i="1"/>
  <c r="D2016" i="1"/>
  <c r="B2016" i="1"/>
  <c r="A2016" i="1"/>
  <c r="G2015" i="1"/>
  <c r="F2015" i="1"/>
  <c r="E2015" i="1"/>
  <c r="D2015" i="1"/>
  <c r="B2015" i="1"/>
  <c r="A2015" i="1"/>
  <c r="G2014" i="1"/>
  <c r="F2014" i="1"/>
  <c r="E2014" i="1"/>
  <c r="D2014" i="1"/>
  <c r="B2014" i="1"/>
  <c r="A2014" i="1"/>
  <c r="G2013" i="1"/>
  <c r="F2013" i="1"/>
  <c r="E2013" i="1"/>
  <c r="D2013" i="1"/>
  <c r="B2013" i="1"/>
  <c r="A2013" i="1"/>
  <c r="G2012" i="1"/>
  <c r="F2012" i="1"/>
  <c r="E2012" i="1"/>
  <c r="D2012" i="1"/>
  <c r="B2012" i="1"/>
  <c r="A2012" i="1"/>
  <c r="G2011" i="1"/>
  <c r="F2011" i="1"/>
  <c r="E2011" i="1"/>
  <c r="D2011" i="1"/>
  <c r="B2011" i="1"/>
  <c r="A2011" i="1"/>
  <c r="G2010" i="1"/>
  <c r="F2010" i="1"/>
  <c r="E2010" i="1"/>
  <c r="D2010" i="1"/>
  <c r="B2010" i="1"/>
  <c r="A2010" i="1"/>
  <c r="G2009" i="1"/>
  <c r="F2009" i="1"/>
  <c r="E2009" i="1"/>
  <c r="D2009" i="1"/>
  <c r="B2009" i="1"/>
  <c r="A2009" i="1"/>
  <c r="G2008" i="1"/>
  <c r="F2008" i="1"/>
  <c r="E2008" i="1"/>
  <c r="D2008" i="1"/>
  <c r="B2008" i="1"/>
  <c r="A2008" i="1"/>
  <c r="G2007" i="1"/>
  <c r="F2007" i="1"/>
  <c r="E2007" i="1"/>
  <c r="D2007" i="1"/>
  <c r="B2007" i="1"/>
  <c r="A2007" i="1"/>
  <c r="G2006" i="1"/>
  <c r="F2006" i="1"/>
  <c r="E2006" i="1"/>
  <c r="D2006" i="1"/>
  <c r="B2006" i="1"/>
  <c r="A2006" i="1"/>
  <c r="G2005" i="1"/>
  <c r="F2005" i="1"/>
  <c r="E2005" i="1"/>
  <c r="D2005" i="1"/>
  <c r="B2005" i="1"/>
  <c r="A2005" i="1"/>
  <c r="G2004" i="1"/>
  <c r="F2004" i="1"/>
  <c r="E2004" i="1"/>
  <c r="D2004" i="1"/>
  <c r="B2004" i="1"/>
  <c r="A2004" i="1"/>
  <c r="G2003" i="1"/>
  <c r="F2003" i="1"/>
  <c r="E2003" i="1"/>
  <c r="D2003" i="1"/>
  <c r="B2003" i="1"/>
  <c r="A2003" i="1"/>
  <c r="G2002" i="1"/>
  <c r="F2002" i="1"/>
  <c r="E2002" i="1"/>
  <c r="D2002" i="1"/>
  <c r="B2002" i="1"/>
  <c r="A2002" i="1"/>
  <c r="G2001" i="1"/>
  <c r="F2001" i="1"/>
  <c r="E2001" i="1"/>
  <c r="D2001" i="1"/>
  <c r="B2001" i="1"/>
  <c r="A2001" i="1"/>
  <c r="G2000" i="1"/>
  <c r="F2000" i="1"/>
  <c r="E2000" i="1"/>
  <c r="D2000" i="1"/>
  <c r="B2000" i="1"/>
  <c r="A2000" i="1"/>
  <c r="G1999" i="1"/>
  <c r="F1999" i="1"/>
  <c r="E1999" i="1"/>
  <c r="D1999" i="1"/>
  <c r="B1999" i="1"/>
  <c r="A1999" i="1"/>
  <c r="G1998" i="1"/>
  <c r="F1998" i="1"/>
  <c r="E1998" i="1"/>
  <c r="D1998" i="1"/>
  <c r="B1998" i="1"/>
  <c r="A1998" i="1"/>
  <c r="G1997" i="1"/>
  <c r="F1997" i="1"/>
  <c r="E1997" i="1"/>
  <c r="D1997" i="1"/>
  <c r="B1997" i="1"/>
  <c r="A1997" i="1"/>
  <c r="G1996" i="1"/>
  <c r="F1996" i="1"/>
  <c r="E1996" i="1"/>
  <c r="D1996" i="1"/>
  <c r="B1996" i="1"/>
  <c r="A1996" i="1"/>
  <c r="G1995" i="1"/>
  <c r="F1995" i="1"/>
  <c r="E1995" i="1"/>
  <c r="D1995" i="1"/>
  <c r="B1995" i="1"/>
  <c r="A1995" i="1"/>
  <c r="G1994" i="1"/>
  <c r="F1994" i="1"/>
  <c r="E1994" i="1"/>
  <c r="D1994" i="1"/>
  <c r="B1994" i="1"/>
  <c r="A1994" i="1"/>
  <c r="G1993" i="1"/>
  <c r="F1993" i="1"/>
  <c r="E1993" i="1"/>
  <c r="D1993" i="1"/>
  <c r="B1993" i="1"/>
  <c r="A1993" i="1"/>
  <c r="G1992" i="1"/>
  <c r="F1992" i="1"/>
  <c r="E1992" i="1"/>
  <c r="D1992" i="1"/>
  <c r="B1992" i="1"/>
  <c r="A1992" i="1"/>
  <c r="G1991" i="1"/>
  <c r="F1991" i="1"/>
  <c r="E1991" i="1"/>
  <c r="D1991" i="1"/>
  <c r="B1991" i="1"/>
  <c r="A1991" i="1"/>
  <c r="G1990" i="1"/>
  <c r="F1990" i="1"/>
  <c r="E1990" i="1"/>
  <c r="D1990" i="1"/>
  <c r="B1990" i="1"/>
  <c r="A1990" i="1"/>
  <c r="G1989" i="1"/>
  <c r="F1989" i="1"/>
  <c r="E1989" i="1"/>
  <c r="D1989" i="1"/>
  <c r="B1989" i="1"/>
  <c r="A1989" i="1"/>
  <c r="G1988" i="1"/>
  <c r="F1988" i="1"/>
  <c r="E1988" i="1"/>
  <c r="D1988" i="1"/>
  <c r="B1988" i="1"/>
  <c r="A1988" i="1"/>
  <c r="G1987" i="1"/>
  <c r="F1987" i="1"/>
  <c r="E1987" i="1"/>
  <c r="D1987" i="1"/>
  <c r="B1987" i="1"/>
  <c r="A1987" i="1"/>
  <c r="G1986" i="1"/>
  <c r="F1986" i="1"/>
  <c r="E1986" i="1"/>
  <c r="D1986" i="1"/>
  <c r="B1986" i="1"/>
  <c r="A1986" i="1"/>
  <c r="G1985" i="1"/>
  <c r="F1985" i="1"/>
  <c r="E1985" i="1"/>
  <c r="D1985" i="1"/>
  <c r="B1985" i="1"/>
  <c r="A1985" i="1"/>
  <c r="G1984" i="1"/>
  <c r="F1984" i="1"/>
  <c r="E1984" i="1"/>
  <c r="D1984" i="1"/>
  <c r="B1984" i="1"/>
  <c r="A1984" i="1"/>
  <c r="G1983" i="1"/>
  <c r="F1983" i="1"/>
  <c r="E1983" i="1"/>
  <c r="D1983" i="1"/>
  <c r="B1983" i="1"/>
  <c r="A1983" i="1"/>
  <c r="G1982" i="1"/>
  <c r="F1982" i="1"/>
  <c r="E1982" i="1"/>
  <c r="D1982" i="1"/>
  <c r="B1982" i="1"/>
  <c r="A1982" i="1"/>
  <c r="G1981" i="1"/>
  <c r="F1981" i="1"/>
  <c r="E1981" i="1"/>
  <c r="D1981" i="1"/>
  <c r="B1981" i="1"/>
  <c r="A1981" i="1"/>
  <c r="G1980" i="1"/>
  <c r="F1980" i="1"/>
  <c r="E1980" i="1"/>
  <c r="D1980" i="1"/>
  <c r="B1980" i="1"/>
  <c r="A1980" i="1"/>
  <c r="G1979" i="1"/>
  <c r="F1979" i="1"/>
  <c r="E1979" i="1"/>
  <c r="D1979" i="1"/>
  <c r="B1979" i="1"/>
  <c r="A1979" i="1"/>
  <c r="G1978" i="1"/>
  <c r="F1978" i="1"/>
  <c r="E1978" i="1"/>
  <c r="D1978" i="1"/>
  <c r="B1978" i="1"/>
  <c r="A1978" i="1"/>
  <c r="G1977" i="1"/>
  <c r="F1977" i="1"/>
  <c r="E1977" i="1"/>
  <c r="D1977" i="1"/>
  <c r="B1977" i="1"/>
  <c r="A1977" i="1"/>
  <c r="G1976" i="1"/>
  <c r="F1976" i="1"/>
  <c r="E1976" i="1"/>
  <c r="D1976" i="1"/>
  <c r="B1976" i="1"/>
  <c r="A1976" i="1"/>
  <c r="G1975" i="1"/>
  <c r="F1975" i="1"/>
  <c r="E1975" i="1"/>
  <c r="D1975" i="1"/>
  <c r="B1975" i="1"/>
  <c r="A1975" i="1"/>
  <c r="G1974" i="1"/>
  <c r="F1974" i="1"/>
  <c r="E1974" i="1"/>
  <c r="D1974" i="1"/>
  <c r="B1974" i="1"/>
  <c r="A1974" i="1"/>
  <c r="G1973" i="1"/>
  <c r="F1973" i="1"/>
  <c r="E1973" i="1"/>
  <c r="D1973" i="1"/>
  <c r="B1973" i="1"/>
  <c r="A1973" i="1"/>
  <c r="G1972" i="1"/>
  <c r="F1972" i="1"/>
  <c r="E1972" i="1"/>
  <c r="D1972" i="1"/>
  <c r="B1972" i="1"/>
  <c r="A1972" i="1"/>
  <c r="G1971" i="1"/>
  <c r="F1971" i="1"/>
  <c r="E1971" i="1"/>
  <c r="D1971" i="1"/>
  <c r="B1971" i="1"/>
  <c r="A1971" i="1"/>
  <c r="G1970" i="1"/>
  <c r="F1970" i="1"/>
  <c r="E1970" i="1"/>
  <c r="D1970" i="1"/>
  <c r="B1970" i="1"/>
  <c r="A1970" i="1"/>
  <c r="G1969" i="1"/>
  <c r="F1969" i="1"/>
  <c r="E1969" i="1"/>
  <c r="D1969" i="1"/>
  <c r="B1969" i="1"/>
  <c r="A1969" i="1"/>
  <c r="G1968" i="1"/>
  <c r="F1968" i="1"/>
  <c r="E1968" i="1"/>
  <c r="D1968" i="1"/>
  <c r="B1968" i="1"/>
  <c r="A1968" i="1"/>
  <c r="G1967" i="1"/>
  <c r="F1967" i="1"/>
  <c r="E1967" i="1"/>
  <c r="D1967" i="1"/>
  <c r="B1967" i="1"/>
  <c r="A1967" i="1"/>
  <c r="G1966" i="1"/>
  <c r="F1966" i="1"/>
  <c r="E1966" i="1"/>
  <c r="D1966" i="1"/>
  <c r="B1966" i="1"/>
  <c r="A1966" i="1"/>
  <c r="G1965" i="1"/>
  <c r="F1965" i="1"/>
  <c r="E1965" i="1"/>
  <c r="D1965" i="1"/>
  <c r="B1965" i="1"/>
  <c r="A1965" i="1"/>
  <c r="G1964" i="1"/>
  <c r="F1964" i="1"/>
  <c r="E1964" i="1"/>
  <c r="D1964" i="1"/>
  <c r="B1964" i="1"/>
  <c r="A1964" i="1"/>
  <c r="G1963" i="1"/>
  <c r="F1963" i="1"/>
  <c r="E1963" i="1"/>
  <c r="D1963" i="1"/>
  <c r="B1963" i="1"/>
  <c r="A1963" i="1"/>
  <c r="G1962" i="1"/>
  <c r="F1962" i="1"/>
  <c r="E1962" i="1"/>
  <c r="D1962" i="1"/>
  <c r="B1962" i="1"/>
  <c r="A1962" i="1"/>
  <c r="G1961" i="1"/>
  <c r="F1961" i="1"/>
  <c r="E1961" i="1"/>
  <c r="D1961" i="1"/>
  <c r="B1961" i="1"/>
  <c r="A1961" i="1"/>
  <c r="G1960" i="1"/>
  <c r="F1960" i="1"/>
  <c r="E1960" i="1"/>
  <c r="D1960" i="1"/>
  <c r="B1960" i="1"/>
  <c r="A1960" i="1"/>
  <c r="G1959" i="1"/>
  <c r="F1959" i="1"/>
  <c r="E1959" i="1"/>
  <c r="D1959" i="1"/>
  <c r="B1959" i="1"/>
  <c r="A1959" i="1"/>
  <c r="G1958" i="1"/>
  <c r="F1958" i="1"/>
  <c r="E1958" i="1"/>
  <c r="D1958" i="1"/>
  <c r="B1958" i="1"/>
  <c r="A1958" i="1"/>
  <c r="G1957" i="1"/>
  <c r="F1957" i="1"/>
  <c r="E1957" i="1"/>
  <c r="D1957" i="1"/>
  <c r="B1957" i="1"/>
  <c r="A1957" i="1"/>
  <c r="G1956" i="1"/>
  <c r="F1956" i="1"/>
  <c r="E1956" i="1"/>
  <c r="D1956" i="1"/>
  <c r="B1956" i="1"/>
  <c r="A1956" i="1"/>
  <c r="G1955" i="1"/>
  <c r="F1955" i="1"/>
  <c r="E1955" i="1"/>
  <c r="D1955" i="1"/>
  <c r="B1955" i="1"/>
  <c r="A1955" i="1"/>
  <c r="G1954" i="1"/>
  <c r="F1954" i="1"/>
  <c r="E1954" i="1"/>
  <c r="D1954" i="1"/>
  <c r="B1954" i="1"/>
  <c r="A1954" i="1"/>
  <c r="G1953" i="1"/>
  <c r="F1953" i="1"/>
  <c r="E1953" i="1"/>
  <c r="D1953" i="1"/>
  <c r="B1953" i="1"/>
  <c r="A1953" i="1"/>
  <c r="G1952" i="1"/>
  <c r="F1952" i="1"/>
  <c r="E1952" i="1"/>
  <c r="D1952" i="1"/>
  <c r="B1952" i="1"/>
  <c r="A1952" i="1"/>
  <c r="G1951" i="1"/>
  <c r="F1951" i="1"/>
  <c r="E1951" i="1"/>
  <c r="D1951" i="1"/>
  <c r="B1951" i="1"/>
  <c r="A1951" i="1"/>
  <c r="G1950" i="1"/>
  <c r="F1950" i="1"/>
  <c r="E1950" i="1"/>
  <c r="D1950" i="1"/>
  <c r="B1950" i="1"/>
  <c r="A1950" i="1"/>
  <c r="G1949" i="1"/>
  <c r="F1949" i="1"/>
  <c r="E1949" i="1"/>
  <c r="D1949" i="1"/>
  <c r="B1949" i="1"/>
  <c r="A1949" i="1"/>
  <c r="G1948" i="1"/>
  <c r="F1948" i="1"/>
  <c r="E1948" i="1"/>
  <c r="D1948" i="1"/>
  <c r="B1948" i="1"/>
  <c r="A1948" i="1"/>
  <c r="G1947" i="1"/>
  <c r="F1947" i="1"/>
  <c r="E1947" i="1"/>
  <c r="D1947" i="1"/>
  <c r="B1947" i="1"/>
  <c r="A1947" i="1"/>
  <c r="G1946" i="1"/>
  <c r="F1946" i="1"/>
  <c r="E1946" i="1"/>
  <c r="D1946" i="1"/>
  <c r="B1946" i="1"/>
  <c r="A1946" i="1"/>
  <c r="G1945" i="1"/>
  <c r="F1945" i="1"/>
  <c r="E1945" i="1"/>
  <c r="D1945" i="1"/>
  <c r="B1945" i="1"/>
  <c r="A1945" i="1"/>
  <c r="G1944" i="1"/>
  <c r="F1944" i="1"/>
  <c r="E1944" i="1"/>
  <c r="D1944" i="1"/>
  <c r="B1944" i="1"/>
  <c r="A1944" i="1"/>
  <c r="G1943" i="1"/>
  <c r="F1943" i="1"/>
  <c r="E1943" i="1"/>
  <c r="D1943" i="1"/>
  <c r="B1943" i="1"/>
  <c r="A1943" i="1"/>
  <c r="G1942" i="1"/>
  <c r="F1942" i="1"/>
  <c r="E1942" i="1"/>
  <c r="D1942" i="1"/>
  <c r="B1942" i="1"/>
  <c r="A1942" i="1"/>
  <c r="G1941" i="1"/>
  <c r="F1941" i="1"/>
  <c r="E1941" i="1"/>
  <c r="D1941" i="1"/>
  <c r="B1941" i="1"/>
  <c r="A1941" i="1"/>
  <c r="G1940" i="1"/>
  <c r="F1940" i="1"/>
  <c r="E1940" i="1"/>
  <c r="D1940" i="1"/>
  <c r="B1940" i="1"/>
  <c r="A1940" i="1"/>
  <c r="G1939" i="1"/>
  <c r="F1939" i="1"/>
  <c r="E1939" i="1"/>
  <c r="D1939" i="1"/>
  <c r="B1939" i="1"/>
  <c r="A1939" i="1"/>
  <c r="G1938" i="1"/>
  <c r="F1938" i="1"/>
  <c r="E1938" i="1"/>
  <c r="D1938" i="1"/>
  <c r="B1938" i="1"/>
  <c r="A1938" i="1"/>
  <c r="G1937" i="1"/>
  <c r="F1937" i="1"/>
  <c r="E1937" i="1"/>
  <c r="D1937" i="1"/>
  <c r="B1937" i="1"/>
  <c r="A1937" i="1"/>
  <c r="G1936" i="1"/>
  <c r="F1936" i="1"/>
  <c r="E1936" i="1"/>
  <c r="D1936" i="1"/>
  <c r="B1936" i="1"/>
  <c r="A1936" i="1"/>
  <c r="G1935" i="1"/>
  <c r="F1935" i="1"/>
  <c r="E1935" i="1"/>
  <c r="D1935" i="1"/>
  <c r="B1935" i="1"/>
  <c r="A1935" i="1"/>
  <c r="G1934" i="1"/>
  <c r="F1934" i="1"/>
  <c r="E1934" i="1"/>
  <c r="D1934" i="1"/>
  <c r="B1934" i="1"/>
  <c r="A1934" i="1"/>
  <c r="G1933" i="1"/>
  <c r="F1933" i="1"/>
  <c r="E1933" i="1"/>
  <c r="D1933" i="1"/>
  <c r="B1933" i="1"/>
  <c r="A1933" i="1"/>
  <c r="G1932" i="1"/>
  <c r="F1932" i="1"/>
  <c r="E1932" i="1"/>
  <c r="D1932" i="1"/>
  <c r="B1932" i="1"/>
  <c r="A1932" i="1"/>
  <c r="G1931" i="1"/>
  <c r="F1931" i="1"/>
  <c r="E1931" i="1"/>
  <c r="D1931" i="1"/>
  <c r="B1931" i="1"/>
  <c r="A1931" i="1"/>
  <c r="G1930" i="1"/>
  <c r="F1930" i="1"/>
  <c r="E1930" i="1"/>
  <c r="D1930" i="1"/>
  <c r="B1930" i="1"/>
  <c r="A1930" i="1"/>
  <c r="G1929" i="1"/>
  <c r="F1929" i="1"/>
  <c r="E1929" i="1"/>
  <c r="D1929" i="1"/>
  <c r="B1929" i="1"/>
  <c r="A1929" i="1"/>
  <c r="G1928" i="1"/>
  <c r="F1928" i="1"/>
  <c r="E1928" i="1"/>
  <c r="D1928" i="1"/>
  <c r="B1928" i="1"/>
  <c r="A1928" i="1"/>
  <c r="G1927" i="1"/>
  <c r="F1927" i="1"/>
  <c r="E1927" i="1"/>
  <c r="D1927" i="1"/>
  <c r="B1927" i="1"/>
  <c r="A1927" i="1"/>
  <c r="G1602" i="1"/>
  <c r="F1602" i="1"/>
  <c r="E1602" i="1"/>
  <c r="D1602" i="1"/>
  <c r="B1602" i="1"/>
  <c r="A1602" i="1"/>
  <c r="A215" i="1"/>
  <c r="G1922" i="1"/>
  <c r="F1922" i="1"/>
  <c r="E1922" i="1"/>
  <c r="D1922" i="1"/>
  <c r="B1922" i="1"/>
  <c r="A1922" i="1"/>
  <c r="G1921" i="1"/>
  <c r="F1921" i="1"/>
  <c r="E1921" i="1"/>
  <c r="D1921" i="1"/>
  <c r="B1921" i="1"/>
  <c r="A1921" i="1"/>
  <c r="G1920" i="1"/>
  <c r="F1920" i="1"/>
  <c r="E1920" i="1"/>
  <c r="D1920" i="1"/>
  <c r="B1920" i="1"/>
  <c r="A1920" i="1"/>
  <c r="G1919" i="1"/>
  <c r="F1919" i="1"/>
  <c r="E1919" i="1"/>
  <c r="D1919" i="1"/>
  <c r="B1919" i="1"/>
  <c r="A1919" i="1"/>
  <c r="G1918" i="1"/>
  <c r="F1918" i="1"/>
  <c r="E1918" i="1"/>
  <c r="D1918" i="1"/>
  <c r="B1918" i="1"/>
  <c r="A1918" i="1"/>
  <c r="G1917" i="1"/>
  <c r="F1917" i="1"/>
  <c r="E1917" i="1"/>
  <c r="D1917" i="1"/>
  <c r="B1917" i="1"/>
  <c r="A1917" i="1"/>
  <c r="G1916" i="1"/>
  <c r="F1916" i="1"/>
  <c r="E1916" i="1"/>
  <c r="D1916" i="1"/>
  <c r="B1916" i="1"/>
  <c r="A1916" i="1"/>
  <c r="G1915" i="1"/>
  <c r="F1915" i="1"/>
  <c r="E1915" i="1"/>
  <c r="D1915" i="1"/>
  <c r="B1915" i="1"/>
  <c r="A1915" i="1"/>
  <c r="G1914" i="1"/>
  <c r="F1914" i="1"/>
  <c r="E1914" i="1"/>
  <c r="D1914" i="1"/>
  <c r="B1914" i="1"/>
  <c r="A1914" i="1"/>
  <c r="G1913" i="1"/>
  <c r="F1913" i="1"/>
  <c r="E1913" i="1"/>
  <c r="D1913" i="1"/>
  <c r="B1913" i="1"/>
  <c r="A1913" i="1"/>
  <c r="G1912" i="1"/>
  <c r="F1912" i="1"/>
  <c r="E1912" i="1"/>
  <c r="D1912" i="1"/>
  <c r="B1912" i="1"/>
  <c r="A1912" i="1"/>
  <c r="G1911" i="1"/>
  <c r="F1911" i="1"/>
  <c r="E1911" i="1"/>
  <c r="D1911" i="1"/>
  <c r="B1911" i="1"/>
  <c r="A1911" i="1"/>
  <c r="G1910" i="1"/>
  <c r="F1910" i="1"/>
  <c r="E1910" i="1"/>
  <c r="D1910" i="1"/>
  <c r="B1910" i="1"/>
  <c r="A1910" i="1"/>
  <c r="G1909" i="1"/>
  <c r="F1909" i="1"/>
  <c r="E1909" i="1"/>
  <c r="D1909" i="1"/>
  <c r="B1909" i="1"/>
  <c r="A1909" i="1"/>
  <c r="G1908" i="1"/>
  <c r="F1908" i="1"/>
  <c r="E1908" i="1"/>
  <c r="D1908" i="1"/>
  <c r="B1908" i="1"/>
  <c r="A1908" i="1"/>
  <c r="G1907" i="1"/>
  <c r="F1907" i="1"/>
  <c r="E1907" i="1"/>
  <c r="D1907" i="1"/>
  <c r="B1907" i="1"/>
  <c r="A1907" i="1"/>
  <c r="G1906" i="1"/>
  <c r="F1906" i="1"/>
  <c r="E1906" i="1"/>
  <c r="D1906" i="1"/>
  <c r="B1906" i="1"/>
  <c r="A1906" i="1"/>
  <c r="G1905" i="1"/>
  <c r="F1905" i="1"/>
  <c r="E1905" i="1"/>
  <c r="D1905" i="1"/>
  <c r="B1905" i="1"/>
  <c r="A1905" i="1"/>
  <c r="G1904" i="1"/>
  <c r="F1904" i="1"/>
  <c r="E1904" i="1"/>
  <c r="D1904" i="1"/>
  <c r="B1904" i="1"/>
  <c r="A1904" i="1"/>
  <c r="G1903" i="1"/>
  <c r="F1903" i="1"/>
  <c r="E1903" i="1"/>
  <c r="D1903" i="1"/>
  <c r="B1903" i="1"/>
  <c r="A1903" i="1"/>
  <c r="G1902" i="1"/>
  <c r="F1902" i="1"/>
  <c r="E1902" i="1"/>
  <c r="D1902" i="1"/>
  <c r="B1902" i="1"/>
  <c r="A1902" i="1"/>
  <c r="G1901" i="1"/>
  <c r="F1901" i="1"/>
  <c r="E1901" i="1"/>
  <c r="D1901" i="1"/>
  <c r="B1901" i="1"/>
  <c r="A1901" i="1"/>
  <c r="G1900" i="1"/>
  <c r="F1900" i="1"/>
  <c r="E1900" i="1"/>
  <c r="D1900" i="1"/>
  <c r="B1900" i="1"/>
  <c r="A1900" i="1"/>
  <c r="G1899" i="1"/>
  <c r="F1899" i="1"/>
  <c r="E1899" i="1"/>
  <c r="D1899" i="1"/>
  <c r="B1899" i="1"/>
  <c r="A1899" i="1"/>
  <c r="G1898" i="1"/>
  <c r="F1898" i="1"/>
  <c r="E1898" i="1"/>
  <c r="D1898" i="1"/>
  <c r="B1898" i="1"/>
  <c r="A1898" i="1"/>
  <c r="G1897" i="1"/>
  <c r="F1897" i="1"/>
  <c r="E1897" i="1"/>
  <c r="D1897" i="1"/>
  <c r="B1897" i="1"/>
  <c r="A1897" i="1"/>
  <c r="G1896" i="1"/>
  <c r="F1896" i="1"/>
  <c r="E1896" i="1"/>
  <c r="D1896" i="1"/>
  <c r="B1896" i="1"/>
  <c r="A1896" i="1"/>
  <c r="G1895" i="1"/>
  <c r="F1895" i="1"/>
  <c r="E1895" i="1"/>
  <c r="D1895" i="1"/>
  <c r="B1895" i="1"/>
  <c r="A1895" i="1"/>
  <c r="G1894" i="1"/>
  <c r="F1894" i="1"/>
  <c r="E1894" i="1"/>
  <c r="D1894" i="1"/>
  <c r="B1894" i="1"/>
  <c r="A1894" i="1"/>
  <c r="G1893" i="1"/>
  <c r="F1893" i="1"/>
  <c r="E1893" i="1"/>
  <c r="D1893" i="1"/>
  <c r="B1893" i="1"/>
  <c r="A1893" i="1"/>
  <c r="G1892" i="1"/>
  <c r="F1892" i="1"/>
  <c r="E1892" i="1"/>
  <c r="D1892" i="1"/>
  <c r="B1892" i="1"/>
  <c r="A1892" i="1"/>
  <c r="G1891" i="1"/>
  <c r="F1891" i="1"/>
  <c r="E1891" i="1"/>
  <c r="D1891" i="1"/>
  <c r="B1891" i="1"/>
  <c r="A1891" i="1"/>
  <c r="G1890" i="1"/>
  <c r="F1890" i="1"/>
  <c r="E1890" i="1"/>
  <c r="D1890" i="1"/>
  <c r="B1890" i="1"/>
  <c r="A1890" i="1"/>
  <c r="G1889" i="1"/>
  <c r="F1889" i="1"/>
  <c r="E1889" i="1"/>
  <c r="D1889" i="1"/>
  <c r="B1889" i="1"/>
  <c r="A1889" i="1"/>
  <c r="G1888" i="1"/>
  <c r="F1888" i="1"/>
  <c r="E1888" i="1"/>
  <c r="D1888" i="1"/>
  <c r="B1888" i="1"/>
  <c r="A1888" i="1"/>
  <c r="G1887" i="1"/>
  <c r="F1887" i="1"/>
  <c r="E1887" i="1"/>
  <c r="D1887" i="1"/>
  <c r="B1887" i="1"/>
  <c r="A1887" i="1"/>
  <c r="G1886" i="1"/>
  <c r="F1886" i="1"/>
  <c r="E1886" i="1"/>
  <c r="D1886" i="1"/>
  <c r="B1886" i="1"/>
  <c r="A1886" i="1"/>
  <c r="G1885" i="1"/>
  <c r="F1885" i="1"/>
  <c r="E1885" i="1"/>
  <c r="D1885" i="1"/>
  <c r="B1885" i="1"/>
  <c r="A1885" i="1"/>
  <c r="G1884" i="1"/>
  <c r="F1884" i="1"/>
  <c r="E1884" i="1"/>
  <c r="D1884" i="1"/>
  <c r="B1884" i="1"/>
  <c r="A1884" i="1"/>
  <c r="G1883" i="1"/>
  <c r="F1883" i="1"/>
  <c r="E1883" i="1"/>
  <c r="D1883" i="1"/>
  <c r="B1883" i="1"/>
  <c r="A1883" i="1"/>
  <c r="G1882" i="1"/>
  <c r="F1882" i="1"/>
  <c r="E1882" i="1"/>
  <c r="D1882" i="1"/>
  <c r="B1882" i="1"/>
  <c r="A1882" i="1"/>
  <c r="G1881" i="1"/>
  <c r="F1881" i="1"/>
  <c r="E1881" i="1"/>
  <c r="D1881" i="1"/>
  <c r="B1881" i="1"/>
  <c r="A1881" i="1"/>
  <c r="G1880" i="1"/>
  <c r="F1880" i="1"/>
  <c r="E1880" i="1"/>
  <c r="D1880" i="1"/>
  <c r="B1880" i="1"/>
  <c r="A1880" i="1"/>
  <c r="G1879" i="1"/>
  <c r="F1879" i="1"/>
  <c r="E1879" i="1"/>
  <c r="D1879" i="1"/>
  <c r="B1879" i="1"/>
  <c r="A1879" i="1"/>
  <c r="G1878" i="1"/>
  <c r="F1878" i="1"/>
  <c r="E1878" i="1"/>
  <c r="D1878" i="1"/>
  <c r="B1878" i="1"/>
  <c r="A1878" i="1"/>
  <c r="G1877" i="1"/>
  <c r="F1877" i="1"/>
  <c r="E1877" i="1"/>
  <c r="D1877" i="1"/>
  <c r="B1877" i="1"/>
  <c r="A1877" i="1"/>
  <c r="G1876" i="1"/>
  <c r="F1876" i="1"/>
  <c r="E1876" i="1"/>
  <c r="D1876" i="1"/>
  <c r="B1876" i="1"/>
  <c r="A1876" i="1"/>
  <c r="G1875" i="1"/>
  <c r="F1875" i="1"/>
  <c r="E1875" i="1"/>
  <c r="D1875" i="1"/>
  <c r="B1875" i="1"/>
  <c r="A1875" i="1"/>
  <c r="G1874" i="1"/>
  <c r="F1874" i="1"/>
  <c r="E1874" i="1"/>
  <c r="D1874" i="1"/>
  <c r="B1874" i="1"/>
  <c r="A1874" i="1"/>
  <c r="G1873" i="1"/>
  <c r="F1873" i="1"/>
  <c r="E1873" i="1"/>
  <c r="D1873" i="1"/>
  <c r="B1873" i="1"/>
  <c r="A1873" i="1"/>
  <c r="G1872" i="1"/>
  <c r="F1872" i="1"/>
  <c r="E1872" i="1"/>
  <c r="D1872" i="1"/>
  <c r="B1872" i="1"/>
  <c r="A1872" i="1"/>
  <c r="G1871" i="1"/>
  <c r="F1871" i="1"/>
  <c r="E1871" i="1"/>
  <c r="D1871" i="1"/>
  <c r="B1871" i="1"/>
  <c r="A1871" i="1"/>
  <c r="G1870" i="1"/>
  <c r="F1870" i="1"/>
  <c r="E1870" i="1"/>
  <c r="D1870" i="1"/>
  <c r="B1870" i="1"/>
  <c r="A1870" i="1"/>
  <c r="G1869" i="1"/>
  <c r="F1869" i="1"/>
  <c r="E1869" i="1"/>
  <c r="D1869" i="1"/>
  <c r="B1869" i="1"/>
  <c r="A1869" i="1"/>
  <c r="G1868" i="1"/>
  <c r="F1868" i="1"/>
  <c r="E1868" i="1"/>
  <c r="D1868" i="1"/>
  <c r="B1868" i="1"/>
  <c r="A1868" i="1"/>
  <c r="G1867" i="1"/>
  <c r="F1867" i="1"/>
  <c r="E1867" i="1"/>
  <c r="D1867" i="1"/>
  <c r="B1867" i="1"/>
  <c r="A1867" i="1"/>
  <c r="G1866" i="1"/>
  <c r="F1866" i="1"/>
  <c r="E1866" i="1"/>
  <c r="D1866" i="1"/>
  <c r="B1866" i="1"/>
  <c r="A1866" i="1"/>
  <c r="G1865" i="1"/>
  <c r="F1865" i="1"/>
  <c r="E1865" i="1"/>
  <c r="D1865" i="1"/>
  <c r="B1865" i="1"/>
  <c r="A1865" i="1"/>
  <c r="G1864" i="1"/>
  <c r="F1864" i="1"/>
  <c r="E1864" i="1"/>
  <c r="D1864" i="1"/>
  <c r="B1864" i="1"/>
  <c r="A1864" i="1"/>
  <c r="G1863" i="1"/>
  <c r="F1863" i="1"/>
  <c r="E1863" i="1"/>
  <c r="D1863" i="1"/>
  <c r="B1863" i="1"/>
  <c r="A1863" i="1"/>
  <c r="G1862" i="1"/>
  <c r="F1862" i="1"/>
  <c r="E1862" i="1"/>
  <c r="D1862" i="1"/>
  <c r="B1862" i="1"/>
  <c r="A1862" i="1"/>
  <c r="G1861" i="1"/>
  <c r="F1861" i="1"/>
  <c r="E1861" i="1"/>
  <c r="D1861" i="1"/>
  <c r="B1861" i="1"/>
  <c r="A1861" i="1"/>
  <c r="G1860" i="1"/>
  <c r="F1860" i="1"/>
  <c r="E1860" i="1"/>
  <c r="D1860" i="1"/>
  <c r="B1860" i="1"/>
  <c r="A1860" i="1"/>
  <c r="G1859" i="1"/>
  <c r="F1859" i="1"/>
  <c r="E1859" i="1"/>
  <c r="D1859" i="1"/>
  <c r="B1859" i="1"/>
  <c r="A1859" i="1"/>
  <c r="G1858" i="1"/>
  <c r="F1858" i="1"/>
  <c r="E1858" i="1"/>
  <c r="D1858" i="1"/>
  <c r="B1858" i="1"/>
  <c r="A1858" i="1"/>
  <c r="G1857" i="1"/>
  <c r="F1857" i="1"/>
  <c r="E1857" i="1"/>
  <c r="D1857" i="1"/>
  <c r="B1857" i="1"/>
  <c r="A1857" i="1"/>
  <c r="G1856" i="1"/>
  <c r="F1856" i="1"/>
  <c r="E1856" i="1"/>
  <c r="D1856" i="1"/>
  <c r="B1856" i="1"/>
  <c r="A1856" i="1"/>
  <c r="G1855" i="1"/>
  <c r="F1855" i="1"/>
  <c r="E1855" i="1"/>
  <c r="D1855" i="1"/>
  <c r="B1855" i="1"/>
  <c r="A1855" i="1"/>
  <c r="G1854" i="1"/>
  <c r="F1854" i="1"/>
  <c r="E1854" i="1"/>
  <c r="D1854" i="1"/>
  <c r="B1854" i="1"/>
  <c r="A1854" i="1"/>
  <c r="G1853" i="1"/>
  <c r="F1853" i="1"/>
  <c r="E1853" i="1"/>
  <c r="D1853" i="1"/>
  <c r="B1853" i="1"/>
  <c r="A1853" i="1"/>
  <c r="G1852" i="1"/>
  <c r="F1852" i="1"/>
  <c r="E1852" i="1"/>
  <c r="D1852" i="1"/>
  <c r="B1852" i="1"/>
  <c r="A1852" i="1"/>
  <c r="G1851" i="1"/>
  <c r="F1851" i="1"/>
  <c r="E1851" i="1"/>
  <c r="D1851" i="1"/>
  <c r="B1851" i="1"/>
  <c r="A1851" i="1"/>
  <c r="G1850" i="1"/>
  <c r="F1850" i="1"/>
  <c r="E1850" i="1"/>
  <c r="D1850" i="1"/>
  <c r="B1850" i="1"/>
  <c r="A1850" i="1"/>
  <c r="G1849" i="1"/>
  <c r="F1849" i="1"/>
  <c r="E1849" i="1"/>
  <c r="D1849" i="1"/>
  <c r="B1849" i="1"/>
  <c r="A1849" i="1"/>
  <c r="G1848" i="1"/>
  <c r="F1848" i="1"/>
  <c r="E1848" i="1"/>
  <c r="D1848" i="1"/>
  <c r="B1848" i="1"/>
  <c r="A1848" i="1"/>
  <c r="G1847" i="1"/>
  <c r="F1847" i="1"/>
  <c r="E1847" i="1"/>
  <c r="D1847" i="1"/>
  <c r="B1847" i="1"/>
  <c r="A1847" i="1"/>
  <c r="G1846" i="1"/>
  <c r="F1846" i="1"/>
  <c r="E1846" i="1"/>
  <c r="D1846" i="1"/>
  <c r="B1846" i="1"/>
  <c r="A1846" i="1"/>
  <c r="G1845" i="1"/>
  <c r="F1845" i="1"/>
  <c r="E1845" i="1"/>
  <c r="D1845" i="1"/>
  <c r="B1845" i="1"/>
  <c r="A1845" i="1"/>
  <c r="G1844" i="1"/>
  <c r="F1844" i="1"/>
  <c r="E1844" i="1"/>
  <c r="D1844" i="1"/>
  <c r="B1844" i="1"/>
  <c r="A1844" i="1"/>
  <c r="G1843" i="1"/>
  <c r="F1843" i="1"/>
  <c r="E1843" i="1"/>
  <c r="D1843" i="1"/>
  <c r="B1843" i="1"/>
  <c r="A1843" i="1"/>
  <c r="G1842" i="1"/>
  <c r="F1842" i="1"/>
  <c r="E1842" i="1"/>
  <c r="D1842" i="1"/>
  <c r="B1842" i="1"/>
  <c r="A1842" i="1"/>
  <c r="G1841" i="1"/>
  <c r="F1841" i="1"/>
  <c r="E1841" i="1"/>
  <c r="D1841" i="1"/>
  <c r="B1841" i="1"/>
  <c r="A1841" i="1"/>
  <c r="G1840" i="1"/>
  <c r="F1840" i="1"/>
  <c r="E1840" i="1"/>
  <c r="D1840" i="1"/>
  <c r="B1840" i="1"/>
  <c r="A1840" i="1"/>
  <c r="G1839" i="1"/>
  <c r="F1839" i="1"/>
  <c r="E1839" i="1"/>
  <c r="D1839" i="1"/>
  <c r="B1839" i="1"/>
  <c r="A1839" i="1"/>
  <c r="G1838" i="1"/>
  <c r="F1838" i="1"/>
  <c r="E1838" i="1"/>
  <c r="D1838" i="1"/>
  <c r="B1838" i="1"/>
  <c r="A1838" i="1"/>
  <c r="G1837" i="1"/>
  <c r="F1837" i="1"/>
  <c r="E1837" i="1"/>
  <c r="D1837" i="1"/>
  <c r="B1837" i="1"/>
  <c r="A1837" i="1"/>
  <c r="G1836" i="1"/>
  <c r="F1836" i="1"/>
  <c r="E1836" i="1"/>
  <c r="D1836" i="1"/>
  <c r="B1836" i="1"/>
  <c r="A1836" i="1"/>
  <c r="G1835" i="1"/>
  <c r="F1835" i="1"/>
  <c r="E1835" i="1"/>
  <c r="D1835" i="1"/>
  <c r="B1835" i="1"/>
  <c r="A1835" i="1"/>
  <c r="G1834" i="1"/>
  <c r="F1834" i="1"/>
  <c r="E1834" i="1"/>
  <c r="D1834" i="1"/>
  <c r="B1834" i="1"/>
  <c r="A1834" i="1"/>
  <c r="G1833" i="1"/>
  <c r="F1833" i="1"/>
  <c r="E1833" i="1"/>
  <c r="D1833" i="1"/>
  <c r="B1833" i="1"/>
  <c r="A1833" i="1"/>
  <c r="G1832" i="1"/>
  <c r="F1832" i="1"/>
  <c r="E1832" i="1"/>
  <c r="D1832" i="1"/>
  <c r="B1832" i="1"/>
  <c r="A1832" i="1"/>
  <c r="G1831" i="1"/>
  <c r="F1831" i="1"/>
  <c r="E1831" i="1"/>
  <c r="D1831" i="1"/>
  <c r="B1831" i="1"/>
  <c r="A1831" i="1"/>
  <c r="G1830" i="1"/>
  <c r="F1830" i="1"/>
  <c r="E1830" i="1"/>
  <c r="D1830" i="1"/>
  <c r="B1830" i="1"/>
  <c r="A1830" i="1"/>
  <c r="G1829" i="1"/>
  <c r="F1829" i="1"/>
  <c r="E1829" i="1"/>
  <c r="D1829" i="1"/>
  <c r="B1829" i="1"/>
  <c r="A1829" i="1"/>
  <c r="G1828" i="1"/>
  <c r="F1828" i="1"/>
  <c r="E1828" i="1"/>
  <c r="D1828" i="1"/>
  <c r="B1828" i="1"/>
  <c r="A1828" i="1"/>
  <c r="G1827" i="1"/>
  <c r="F1827" i="1"/>
  <c r="E1827" i="1"/>
  <c r="D1827" i="1"/>
  <c r="B1827" i="1"/>
  <c r="A1827" i="1"/>
  <c r="G1826" i="1"/>
  <c r="F1826" i="1"/>
  <c r="E1826" i="1"/>
  <c r="D1826" i="1"/>
  <c r="B1826" i="1"/>
  <c r="A1826" i="1"/>
  <c r="G1825" i="1"/>
  <c r="F1825" i="1"/>
  <c r="E1825" i="1"/>
  <c r="D1825" i="1"/>
  <c r="B1825" i="1"/>
  <c r="A1825" i="1"/>
  <c r="G1824" i="1"/>
  <c r="F1824" i="1"/>
  <c r="E1824" i="1"/>
  <c r="D1824" i="1"/>
  <c r="B1824" i="1"/>
  <c r="A1824" i="1"/>
  <c r="G1823" i="1"/>
  <c r="F1823" i="1"/>
  <c r="E1823" i="1"/>
  <c r="D1823" i="1"/>
  <c r="B1823" i="1"/>
  <c r="A1823" i="1"/>
  <c r="G1822" i="1"/>
  <c r="F1822" i="1"/>
  <c r="E1822" i="1"/>
  <c r="D1822" i="1"/>
  <c r="B1822" i="1"/>
  <c r="A1822" i="1"/>
  <c r="G1821" i="1"/>
  <c r="F1821" i="1"/>
  <c r="E1821" i="1"/>
  <c r="D1821" i="1"/>
  <c r="B1821" i="1"/>
  <c r="A1821" i="1"/>
  <c r="G1820" i="1"/>
  <c r="F1820" i="1"/>
  <c r="E1820" i="1"/>
  <c r="D1820" i="1"/>
  <c r="B1820" i="1"/>
  <c r="A1820" i="1"/>
  <c r="G1819" i="1"/>
  <c r="F1819" i="1"/>
  <c r="E1819" i="1"/>
  <c r="D1819" i="1"/>
  <c r="B1819" i="1"/>
  <c r="A1819" i="1"/>
  <c r="G1818" i="1"/>
  <c r="F1818" i="1"/>
  <c r="E1818" i="1"/>
  <c r="D1818" i="1"/>
  <c r="B1818" i="1"/>
  <c r="A1818" i="1"/>
  <c r="G1817" i="1"/>
  <c r="F1817" i="1"/>
  <c r="E1817" i="1"/>
  <c r="D1817" i="1"/>
  <c r="B1817" i="1"/>
  <c r="A1817" i="1"/>
  <c r="G1816" i="1"/>
  <c r="F1816" i="1"/>
  <c r="E1816" i="1"/>
  <c r="D1816" i="1"/>
  <c r="B1816" i="1"/>
  <c r="A1816" i="1"/>
  <c r="G1815" i="1"/>
  <c r="F1815" i="1"/>
  <c r="E1815" i="1"/>
  <c r="D1815" i="1"/>
  <c r="B1815" i="1"/>
  <c r="A1815" i="1"/>
  <c r="G1814" i="1"/>
  <c r="F1814" i="1"/>
  <c r="E1814" i="1"/>
  <c r="D1814" i="1"/>
  <c r="B1814" i="1"/>
  <c r="A1814" i="1"/>
  <c r="G1813" i="1"/>
  <c r="F1813" i="1"/>
  <c r="E1813" i="1"/>
  <c r="D1813" i="1"/>
  <c r="B1813" i="1"/>
  <c r="A1813" i="1"/>
  <c r="G1812" i="1"/>
  <c r="F1812" i="1"/>
  <c r="E1812" i="1"/>
  <c r="D1812" i="1"/>
  <c r="B1812" i="1"/>
  <c r="A1812" i="1"/>
  <c r="G1811" i="1"/>
  <c r="F1811" i="1"/>
  <c r="E1811" i="1"/>
  <c r="D1811" i="1"/>
  <c r="B1811" i="1"/>
  <c r="A1811" i="1"/>
  <c r="G1810" i="1"/>
  <c r="F1810" i="1"/>
  <c r="E1810" i="1"/>
  <c r="D1810" i="1"/>
  <c r="B1810" i="1"/>
  <c r="A1810" i="1"/>
  <c r="G1809" i="1"/>
  <c r="F1809" i="1"/>
  <c r="E1809" i="1"/>
  <c r="D1809" i="1"/>
  <c r="B1809" i="1"/>
  <c r="A1809" i="1"/>
  <c r="G1808" i="1"/>
  <c r="F1808" i="1"/>
  <c r="E1808" i="1"/>
  <c r="D1808" i="1"/>
  <c r="B1808" i="1"/>
  <c r="A1808" i="1"/>
  <c r="G1807" i="1"/>
  <c r="F1807" i="1"/>
  <c r="E1807" i="1"/>
  <c r="D1807" i="1"/>
  <c r="B1807" i="1"/>
  <c r="A1807" i="1"/>
  <c r="G1806" i="1"/>
  <c r="F1806" i="1"/>
  <c r="E1806" i="1"/>
  <c r="D1806" i="1"/>
  <c r="B1806" i="1"/>
  <c r="A1806" i="1"/>
  <c r="G1805" i="1"/>
  <c r="F1805" i="1"/>
  <c r="E1805" i="1"/>
  <c r="D1805" i="1"/>
  <c r="B1805" i="1"/>
  <c r="A1805" i="1"/>
  <c r="G1804" i="1"/>
  <c r="F1804" i="1"/>
  <c r="E1804" i="1"/>
  <c r="D1804" i="1"/>
  <c r="B1804" i="1"/>
  <c r="A1804" i="1"/>
  <c r="G1803" i="1"/>
  <c r="F1803" i="1"/>
  <c r="E1803" i="1"/>
  <c r="D1803" i="1"/>
  <c r="B1803" i="1"/>
  <c r="A1803" i="1"/>
  <c r="G1802" i="1"/>
  <c r="F1802" i="1"/>
  <c r="E1802" i="1"/>
  <c r="D1802" i="1"/>
  <c r="B1802" i="1"/>
  <c r="A1802" i="1"/>
  <c r="G1801" i="1"/>
  <c r="F1801" i="1"/>
  <c r="E1801" i="1"/>
  <c r="D1801" i="1"/>
  <c r="B1801" i="1"/>
  <c r="A1801" i="1"/>
  <c r="G1800" i="1"/>
  <c r="F1800" i="1"/>
  <c r="E1800" i="1"/>
  <c r="D1800" i="1"/>
  <c r="B1800" i="1"/>
  <c r="A1800" i="1"/>
  <c r="G1799" i="1"/>
  <c r="F1799" i="1"/>
  <c r="E1799" i="1"/>
  <c r="D1799" i="1"/>
  <c r="B1799" i="1"/>
  <c r="A1799" i="1"/>
  <c r="G1798" i="1"/>
  <c r="F1798" i="1"/>
  <c r="E1798" i="1"/>
  <c r="D1798" i="1"/>
  <c r="B1798" i="1"/>
  <c r="A1798" i="1"/>
  <c r="G1797" i="1"/>
  <c r="F1797" i="1"/>
  <c r="E1797" i="1"/>
  <c r="D1797" i="1"/>
  <c r="B1797" i="1"/>
  <c r="A1797" i="1"/>
  <c r="G1796" i="1"/>
  <c r="F1796" i="1"/>
  <c r="E1796" i="1"/>
  <c r="D1796" i="1"/>
  <c r="B1796" i="1"/>
  <c r="A1796" i="1"/>
  <c r="G1795" i="1"/>
  <c r="F1795" i="1"/>
  <c r="E1795" i="1"/>
  <c r="D1795" i="1"/>
  <c r="B1795" i="1"/>
  <c r="A1795" i="1"/>
  <c r="G1794" i="1"/>
  <c r="F1794" i="1"/>
  <c r="E1794" i="1"/>
  <c r="D1794" i="1"/>
  <c r="B1794" i="1"/>
  <c r="A1794" i="1"/>
  <c r="G1793" i="1"/>
  <c r="F1793" i="1"/>
  <c r="E1793" i="1"/>
  <c r="D1793" i="1"/>
  <c r="B1793" i="1"/>
  <c r="A1793" i="1"/>
  <c r="G1792" i="1"/>
  <c r="F1792" i="1"/>
  <c r="E1792" i="1"/>
  <c r="D1792" i="1"/>
  <c r="B1792" i="1"/>
  <c r="A1792" i="1"/>
  <c r="G1791" i="1"/>
  <c r="F1791" i="1"/>
  <c r="E1791" i="1"/>
  <c r="D1791" i="1"/>
  <c r="B1791" i="1"/>
  <c r="A1791" i="1"/>
  <c r="G1790" i="1"/>
  <c r="F1790" i="1"/>
  <c r="E1790" i="1"/>
  <c r="D1790" i="1"/>
  <c r="B1790" i="1"/>
  <c r="A1790" i="1"/>
  <c r="G1789" i="1"/>
  <c r="F1789" i="1"/>
  <c r="E1789" i="1"/>
  <c r="D1789" i="1"/>
  <c r="B1789" i="1"/>
  <c r="A1789" i="1"/>
  <c r="G1788" i="1"/>
  <c r="F1788" i="1"/>
  <c r="E1788" i="1"/>
  <c r="D1788" i="1"/>
  <c r="B1788" i="1"/>
  <c r="A1788" i="1"/>
  <c r="G1787" i="1"/>
  <c r="F1787" i="1"/>
  <c r="E1787" i="1"/>
  <c r="D1787" i="1"/>
  <c r="B1787" i="1"/>
  <c r="A1787" i="1"/>
  <c r="G1786" i="1"/>
  <c r="F1786" i="1"/>
  <c r="E1786" i="1"/>
  <c r="D1786" i="1"/>
  <c r="B1786" i="1"/>
  <c r="A1786" i="1"/>
  <c r="G1785" i="1"/>
  <c r="F1785" i="1"/>
  <c r="E1785" i="1"/>
  <c r="D1785" i="1"/>
  <c r="B1785" i="1"/>
  <c r="A1785" i="1"/>
  <c r="G1784" i="1"/>
  <c r="F1784" i="1"/>
  <c r="E1784" i="1"/>
  <c r="D1784" i="1"/>
  <c r="B1784" i="1"/>
  <c r="A1784" i="1"/>
  <c r="G1783" i="1"/>
  <c r="F1783" i="1"/>
  <c r="E1783" i="1"/>
  <c r="D1783" i="1"/>
  <c r="B1783" i="1"/>
  <c r="A1783" i="1"/>
  <c r="G1782" i="1"/>
  <c r="F1782" i="1"/>
  <c r="E1782" i="1"/>
  <c r="D1782" i="1"/>
  <c r="B1782" i="1"/>
  <c r="A1782" i="1"/>
  <c r="G1781" i="1"/>
  <c r="F1781" i="1"/>
  <c r="E1781" i="1"/>
  <c r="D1781" i="1"/>
  <c r="B1781" i="1"/>
  <c r="A1781" i="1"/>
  <c r="G1780" i="1"/>
  <c r="F1780" i="1"/>
  <c r="E1780" i="1"/>
  <c r="D1780" i="1"/>
  <c r="B1780" i="1"/>
  <c r="A1780" i="1"/>
  <c r="G1779" i="1"/>
  <c r="F1779" i="1"/>
  <c r="E1779" i="1"/>
  <c r="D1779" i="1"/>
  <c r="B1779" i="1"/>
  <c r="A1779" i="1"/>
  <c r="G1778" i="1"/>
  <c r="F1778" i="1"/>
  <c r="E1778" i="1"/>
  <c r="D1778" i="1"/>
  <c r="B1778" i="1"/>
  <c r="A1778" i="1"/>
  <c r="G1777" i="1"/>
  <c r="F1777" i="1"/>
  <c r="E1777" i="1"/>
  <c r="D1777" i="1"/>
  <c r="B1777" i="1"/>
  <c r="A1777" i="1"/>
  <c r="G1776" i="1"/>
  <c r="F1776" i="1"/>
  <c r="E1776" i="1"/>
  <c r="D1776" i="1"/>
  <c r="B1776" i="1"/>
  <c r="A1776" i="1"/>
  <c r="G1775" i="1"/>
  <c r="F1775" i="1"/>
  <c r="E1775" i="1"/>
  <c r="D1775" i="1"/>
  <c r="B1775" i="1"/>
  <c r="A1775" i="1"/>
  <c r="G1774" i="1"/>
  <c r="F1774" i="1"/>
  <c r="E1774" i="1"/>
  <c r="D1774" i="1"/>
  <c r="B1774" i="1"/>
  <c r="A1774" i="1"/>
  <c r="G1773" i="1"/>
  <c r="F1773" i="1"/>
  <c r="E1773" i="1"/>
  <c r="D1773" i="1"/>
  <c r="B1773" i="1"/>
  <c r="A1773" i="1"/>
  <c r="G1772" i="1"/>
  <c r="F1772" i="1"/>
  <c r="E1772" i="1"/>
  <c r="D1772" i="1"/>
  <c r="B1772" i="1"/>
  <c r="A1772" i="1"/>
  <c r="G1771" i="1"/>
  <c r="F1771" i="1"/>
  <c r="E1771" i="1"/>
  <c r="D1771" i="1"/>
  <c r="B1771" i="1"/>
  <c r="A1771" i="1"/>
  <c r="G1770" i="1"/>
  <c r="F1770" i="1"/>
  <c r="E1770" i="1"/>
  <c r="D1770" i="1"/>
  <c r="B1770" i="1"/>
  <c r="A1770" i="1"/>
  <c r="G1769" i="1"/>
  <c r="F1769" i="1"/>
  <c r="E1769" i="1"/>
  <c r="D1769" i="1"/>
  <c r="B1769" i="1"/>
  <c r="A1769" i="1"/>
  <c r="G1768" i="1"/>
  <c r="F1768" i="1"/>
  <c r="E1768" i="1"/>
  <c r="D1768" i="1"/>
  <c r="B1768" i="1"/>
  <c r="A1768" i="1"/>
  <c r="G1767" i="1"/>
  <c r="F1767" i="1"/>
  <c r="E1767" i="1"/>
  <c r="D1767" i="1"/>
  <c r="B1767" i="1"/>
  <c r="A1767" i="1"/>
  <c r="G1766" i="1"/>
  <c r="F1766" i="1"/>
  <c r="E1766" i="1"/>
  <c r="D1766" i="1"/>
  <c r="B1766" i="1"/>
  <c r="A1766" i="1"/>
  <c r="G1765" i="1"/>
  <c r="F1765" i="1"/>
  <c r="E1765" i="1"/>
  <c r="D1765" i="1"/>
  <c r="B1765" i="1"/>
  <c r="A1765" i="1"/>
  <c r="G1764" i="1"/>
  <c r="F1764" i="1"/>
  <c r="E1764" i="1"/>
  <c r="D1764" i="1"/>
  <c r="B1764" i="1"/>
  <c r="A1764" i="1"/>
  <c r="G1763" i="1"/>
  <c r="F1763" i="1"/>
  <c r="E1763" i="1"/>
  <c r="D1763" i="1"/>
  <c r="B1763" i="1"/>
  <c r="A1763" i="1"/>
  <c r="G1762" i="1"/>
  <c r="F1762" i="1"/>
  <c r="E1762" i="1"/>
  <c r="D1762" i="1"/>
  <c r="B1762" i="1"/>
  <c r="A1762" i="1"/>
  <c r="G1761" i="1"/>
  <c r="F1761" i="1"/>
  <c r="E1761" i="1"/>
  <c r="D1761" i="1"/>
  <c r="B1761" i="1"/>
  <c r="A1761" i="1"/>
  <c r="G1760" i="1"/>
  <c r="F1760" i="1"/>
  <c r="E1760" i="1"/>
  <c r="D1760" i="1"/>
  <c r="B1760" i="1"/>
  <c r="A1760" i="1"/>
  <c r="G1759" i="1"/>
  <c r="F1759" i="1"/>
  <c r="E1759" i="1"/>
  <c r="D1759" i="1"/>
  <c r="B1759" i="1"/>
  <c r="A1759" i="1"/>
  <c r="G1758" i="1"/>
  <c r="F1758" i="1"/>
  <c r="E1758" i="1"/>
  <c r="D1758" i="1"/>
  <c r="B1758" i="1"/>
  <c r="A1758" i="1"/>
  <c r="G1757" i="1"/>
  <c r="F1757" i="1"/>
  <c r="E1757" i="1"/>
  <c r="D1757" i="1"/>
  <c r="B1757" i="1"/>
  <c r="A1757" i="1"/>
  <c r="G1756" i="1"/>
  <c r="F1756" i="1"/>
  <c r="E1756" i="1"/>
  <c r="D1756" i="1"/>
  <c r="B1756" i="1"/>
  <c r="A1756" i="1"/>
  <c r="G1755" i="1"/>
  <c r="F1755" i="1"/>
  <c r="E1755" i="1"/>
  <c r="D1755" i="1"/>
  <c r="B1755" i="1"/>
  <c r="A1755" i="1"/>
  <c r="G1754" i="1"/>
  <c r="F1754" i="1"/>
  <c r="E1754" i="1"/>
  <c r="D1754" i="1"/>
  <c r="B1754" i="1"/>
  <c r="A1754" i="1"/>
  <c r="G1753" i="1"/>
  <c r="F1753" i="1"/>
  <c r="E1753" i="1"/>
  <c r="D1753" i="1"/>
  <c r="B1753" i="1"/>
  <c r="A1753" i="1"/>
  <c r="G1752" i="1"/>
  <c r="F1752" i="1"/>
  <c r="E1752" i="1"/>
  <c r="D1752" i="1"/>
  <c r="B1752" i="1"/>
  <c r="A1752" i="1"/>
  <c r="G1751" i="1"/>
  <c r="F1751" i="1"/>
  <c r="E1751" i="1"/>
  <c r="D1751" i="1"/>
  <c r="B1751" i="1"/>
  <c r="A1751" i="1"/>
  <c r="G1750" i="1"/>
  <c r="F1750" i="1"/>
  <c r="E1750" i="1"/>
  <c r="D1750" i="1"/>
  <c r="B1750" i="1"/>
  <c r="A1750" i="1"/>
  <c r="G1749" i="1"/>
  <c r="F1749" i="1"/>
  <c r="E1749" i="1"/>
  <c r="D1749" i="1"/>
  <c r="B1749" i="1"/>
  <c r="A1749" i="1"/>
  <c r="G1748" i="1"/>
  <c r="F1748" i="1"/>
  <c r="E1748" i="1"/>
  <c r="D1748" i="1"/>
  <c r="B1748" i="1"/>
  <c r="A1748" i="1"/>
  <c r="G1747" i="1"/>
  <c r="F1747" i="1"/>
  <c r="E1747" i="1"/>
  <c r="D1747" i="1"/>
  <c r="B1747" i="1"/>
  <c r="A1747" i="1"/>
  <c r="G1746" i="1"/>
  <c r="F1746" i="1"/>
  <c r="E1746" i="1"/>
  <c r="D1746" i="1"/>
  <c r="B1746" i="1"/>
  <c r="A1746" i="1"/>
  <c r="G1745" i="1"/>
  <c r="F1745" i="1"/>
  <c r="E1745" i="1"/>
  <c r="D1745" i="1"/>
  <c r="B1745" i="1"/>
  <c r="A1745" i="1"/>
  <c r="G1744" i="1"/>
  <c r="F1744" i="1"/>
  <c r="E1744" i="1"/>
  <c r="D1744" i="1"/>
  <c r="B1744" i="1"/>
  <c r="A1744" i="1"/>
  <c r="G1743" i="1"/>
  <c r="F1743" i="1"/>
  <c r="E1743" i="1"/>
  <c r="D1743" i="1"/>
  <c r="B1743" i="1"/>
  <c r="A1743" i="1"/>
  <c r="G1742" i="1"/>
  <c r="F1742" i="1"/>
  <c r="E1742" i="1"/>
  <c r="D1742" i="1"/>
  <c r="B1742" i="1"/>
  <c r="A1742" i="1"/>
  <c r="G1741" i="1"/>
  <c r="F1741" i="1"/>
  <c r="E1741" i="1"/>
  <c r="D1741" i="1"/>
  <c r="B1741" i="1"/>
  <c r="A1741" i="1"/>
  <c r="G1740" i="1"/>
  <c r="F1740" i="1"/>
  <c r="E1740" i="1"/>
  <c r="D1740" i="1"/>
  <c r="B1740" i="1"/>
  <c r="A1740" i="1"/>
  <c r="G1739" i="1"/>
  <c r="F1739" i="1"/>
  <c r="E1739" i="1"/>
  <c r="D1739" i="1"/>
  <c r="B1739" i="1"/>
  <c r="A1739" i="1"/>
  <c r="G1738" i="1"/>
  <c r="F1738" i="1"/>
  <c r="E1738" i="1"/>
  <c r="D1738" i="1"/>
  <c r="B1738" i="1"/>
  <c r="A1738" i="1"/>
  <c r="G1737" i="1"/>
  <c r="F1737" i="1"/>
  <c r="E1737" i="1"/>
  <c r="D1737" i="1"/>
  <c r="B1737" i="1"/>
  <c r="A1737" i="1"/>
  <c r="G1736" i="1"/>
  <c r="F1736" i="1"/>
  <c r="E1736" i="1"/>
  <c r="D1736" i="1"/>
  <c r="B1736" i="1"/>
  <c r="A1736" i="1"/>
  <c r="G1735" i="1"/>
  <c r="F1735" i="1"/>
  <c r="E1735" i="1"/>
  <c r="D1735" i="1"/>
  <c r="B1735" i="1"/>
  <c r="A1735" i="1"/>
  <c r="G1734" i="1"/>
  <c r="F1734" i="1"/>
  <c r="E1734" i="1"/>
  <c r="D1734" i="1"/>
  <c r="B1734" i="1"/>
  <c r="A1734" i="1"/>
  <c r="G1733" i="1"/>
  <c r="F1733" i="1"/>
  <c r="E1733" i="1"/>
  <c r="D1733" i="1"/>
  <c r="B1733" i="1"/>
  <c r="A1733" i="1"/>
  <c r="G1732" i="1"/>
  <c r="F1732" i="1"/>
  <c r="E1732" i="1"/>
  <c r="D1732" i="1"/>
  <c r="B1732" i="1"/>
  <c r="A1732" i="1"/>
  <c r="G1731" i="1"/>
  <c r="F1731" i="1"/>
  <c r="E1731" i="1"/>
  <c r="D1731" i="1"/>
  <c r="B1731" i="1"/>
  <c r="A1731" i="1"/>
  <c r="G1730" i="1"/>
  <c r="F1730" i="1"/>
  <c r="E1730" i="1"/>
  <c r="D1730" i="1"/>
  <c r="B1730" i="1"/>
  <c r="A1730" i="1"/>
  <c r="G1729" i="1"/>
  <c r="F1729" i="1"/>
  <c r="E1729" i="1"/>
  <c r="D1729" i="1"/>
  <c r="B1729" i="1"/>
  <c r="A1729" i="1"/>
  <c r="G1728" i="1"/>
  <c r="F1728" i="1"/>
  <c r="E1728" i="1"/>
  <c r="D1728" i="1"/>
  <c r="B1728" i="1"/>
  <c r="A1728" i="1"/>
  <c r="G1727" i="1"/>
  <c r="F1727" i="1"/>
  <c r="E1727" i="1"/>
  <c r="D1727" i="1"/>
  <c r="B1727" i="1"/>
  <c r="A1727" i="1"/>
  <c r="G1726" i="1"/>
  <c r="F1726" i="1"/>
  <c r="E1726" i="1"/>
  <c r="D1726" i="1"/>
  <c r="B1726" i="1"/>
  <c r="A1726" i="1"/>
  <c r="G1725" i="1"/>
  <c r="F1725" i="1"/>
  <c r="E1725" i="1"/>
  <c r="D1725" i="1"/>
  <c r="B1725" i="1"/>
  <c r="A1725" i="1"/>
  <c r="G1724" i="1"/>
  <c r="F1724" i="1"/>
  <c r="E1724" i="1"/>
  <c r="D1724" i="1"/>
  <c r="B1724" i="1"/>
  <c r="A1724" i="1"/>
  <c r="G1723" i="1"/>
  <c r="F1723" i="1"/>
  <c r="E1723" i="1"/>
  <c r="D1723" i="1"/>
  <c r="B1723" i="1"/>
  <c r="A1723" i="1"/>
  <c r="G1722" i="1"/>
  <c r="F1722" i="1"/>
  <c r="E1722" i="1"/>
  <c r="D1722" i="1"/>
  <c r="B1722" i="1"/>
  <c r="A1722" i="1"/>
  <c r="G1721" i="1"/>
  <c r="F1721" i="1"/>
  <c r="E1721" i="1"/>
  <c r="D1721" i="1"/>
  <c r="B1721" i="1"/>
  <c r="A1721" i="1"/>
  <c r="G1720" i="1"/>
  <c r="F1720" i="1"/>
  <c r="E1720" i="1"/>
  <c r="D1720" i="1"/>
  <c r="B1720" i="1"/>
  <c r="A1720" i="1"/>
  <c r="G1719" i="1"/>
  <c r="F1719" i="1"/>
  <c r="E1719" i="1"/>
  <c r="D1719" i="1"/>
  <c r="B1719" i="1"/>
  <c r="A1719" i="1"/>
  <c r="G1718" i="1"/>
  <c r="F1718" i="1"/>
  <c r="E1718" i="1"/>
  <c r="D1718" i="1"/>
  <c r="B1718" i="1"/>
  <c r="A1718" i="1"/>
  <c r="G1717" i="1"/>
  <c r="F1717" i="1"/>
  <c r="E1717" i="1"/>
  <c r="D1717" i="1"/>
  <c r="B1717" i="1"/>
  <c r="A1717" i="1"/>
  <c r="G1716" i="1"/>
  <c r="F1716" i="1"/>
  <c r="E1716" i="1"/>
  <c r="D1716" i="1"/>
  <c r="B1716" i="1"/>
  <c r="A1716" i="1"/>
  <c r="G1715" i="1"/>
  <c r="F1715" i="1"/>
  <c r="E1715" i="1"/>
  <c r="D1715" i="1"/>
  <c r="B1715" i="1"/>
  <c r="A1715" i="1"/>
  <c r="G1714" i="1"/>
  <c r="F1714" i="1"/>
  <c r="E1714" i="1"/>
  <c r="D1714" i="1"/>
  <c r="B1714" i="1"/>
  <c r="A1714" i="1"/>
  <c r="G1713" i="1"/>
  <c r="F1713" i="1"/>
  <c r="E1713" i="1"/>
  <c r="D1713" i="1"/>
  <c r="B1713" i="1"/>
  <c r="A1713" i="1"/>
  <c r="G1712" i="1"/>
  <c r="F1712" i="1"/>
  <c r="E1712" i="1"/>
  <c r="D1712" i="1"/>
  <c r="B1712" i="1"/>
  <c r="A1712" i="1"/>
  <c r="G1711" i="1"/>
  <c r="F1711" i="1"/>
  <c r="E1711" i="1"/>
  <c r="D1711" i="1"/>
  <c r="B1711" i="1"/>
  <c r="A1711" i="1"/>
  <c r="G1710" i="1"/>
  <c r="F1710" i="1"/>
  <c r="E1710" i="1"/>
  <c r="D1710" i="1"/>
  <c r="B1710" i="1"/>
  <c r="A1710" i="1"/>
  <c r="G1709" i="1"/>
  <c r="F1709" i="1"/>
  <c r="E1709" i="1"/>
  <c r="D1709" i="1"/>
  <c r="B1709" i="1"/>
  <c r="A1709" i="1"/>
  <c r="G1708" i="1"/>
  <c r="F1708" i="1"/>
  <c r="E1708" i="1"/>
  <c r="D1708" i="1"/>
  <c r="B1708" i="1"/>
  <c r="A1708" i="1"/>
  <c r="G1707" i="1"/>
  <c r="F1707" i="1"/>
  <c r="E1707" i="1"/>
  <c r="D1707" i="1"/>
  <c r="B1707" i="1"/>
  <c r="A1707" i="1"/>
  <c r="G1706" i="1"/>
  <c r="F1706" i="1"/>
  <c r="E1706" i="1"/>
  <c r="D1706" i="1"/>
  <c r="B1706" i="1"/>
  <c r="A1706" i="1"/>
  <c r="G1705" i="1"/>
  <c r="F1705" i="1"/>
  <c r="E1705" i="1"/>
  <c r="D1705" i="1"/>
  <c r="B1705" i="1"/>
  <c r="A1705" i="1"/>
  <c r="G1704" i="1"/>
  <c r="F1704" i="1"/>
  <c r="E1704" i="1"/>
  <c r="D1704" i="1"/>
  <c r="B1704" i="1"/>
  <c r="A1704" i="1"/>
  <c r="G1703" i="1"/>
  <c r="F1703" i="1"/>
  <c r="E1703" i="1"/>
  <c r="D1703" i="1"/>
  <c r="B1703" i="1"/>
  <c r="A1703" i="1"/>
  <c r="G1702" i="1"/>
  <c r="F1702" i="1"/>
  <c r="E1702" i="1"/>
  <c r="D1702" i="1"/>
  <c r="B1702" i="1"/>
  <c r="A1702" i="1"/>
  <c r="G1701" i="1"/>
  <c r="F1701" i="1"/>
  <c r="E1701" i="1"/>
  <c r="D1701" i="1"/>
  <c r="B1701" i="1"/>
  <c r="A1701" i="1"/>
  <c r="G1700" i="1"/>
  <c r="F1700" i="1"/>
  <c r="E1700" i="1"/>
  <c r="D1700" i="1"/>
  <c r="B1700" i="1"/>
  <c r="A1700" i="1"/>
  <c r="G1699" i="1"/>
  <c r="F1699" i="1"/>
  <c r="E1699" i="1"/>
  <c r="D1699" i="1"/>
  <c r="B1699" i="1"/>
  <c r="A1699" i="1"/>
  <c r="G1698" i="1"/>
  <c r="F1698" i="1"/>
  <c r="E1698" i="1"/>
  <c r="D1698" i="1"/>
  <c r="B1698" i="1"/>
  <c r="A1698" i="1"/>
  <c r="G1697" i="1"/>
  <c r="F1697" i="1"/>
  <c r="E1697" i="1"/>
  <c r="D1697" i="1"/>
  <c r="B1697" i="1"/>
  <c r="A1697" i="1"/>
  <c r="G1696" i="1"/>
  <c r="F1696" i="1"/>
  <c r="E1696" i="1"/>
  <c r="D1696" i="1"/>
  <c r="B1696" i="1"/>
  <c r="A1696" i="1"/>
  <c r="G1695" i="1"/>
  <c r="F1695" i="1"/>
  <c r="E1695" i="1"/>
  <c r="D1695" i="1"/>
  <c r="B1695" i="1"/>
  <c r="A1695" i="1"/>
  <c r="G1694" i="1"/>
  <c r="F1694" i="1"/>
  <c r="E1694" i="1"/>
  <c r="D1694" i="1"/>
  <c r="B1694" i="1"/>
  <c r="A1694" i="1"/>
  <c r="G1693" i="1"/>
  <c r="F1693" i="1"/>
  <c r="E1693" i="1"/>
  <c r="D1693" i="1"/>
  <c r="B1693" i="1"/>
  <c r="A1693" i="1"/>
  <c r="G1692" i="1"/>
  <c r="F1692" i="1"/>
  <c r="E1692" i="1"/>
  <c r="D1692" i="1"/>
  <c r="B1692" i="1"/>
  <c r="A1692" i="1"/>
  <c r="G1691" i="1"/>
  <c r="F1691" i="1"/>
  <c r="E1691" i="1"/>
  <c r="D1691" i="1"/>
  <c r="B1691" i="1"/>
  <c r="A1691" i="1"/>
  <c r="G1690" i="1"/>
  <c r="F1690" i="1"/>
  <c r="E1690" i="1"/>
  <c r="D1690" i="1"/>
  <c r="B1690" i="1"/>
  <c r="A1690" i="1"/>
  <c r="G1689" i="1"/>
  <c r="F1689" i="1"/>
  <c r="E1689" i="1"/>
  <c r="D1689" i="1"/>
  <c r="B1689" i="1"/>
  <c r="A1689" i="1"/>
  <c r="G1688" i="1"/>
  <c r="F1688" i="1"/>
  <c r="E1688" i="1"/>
  <c r="D1688" i="1"/>
  <c r="B1688" i="1"/>
  <c r="A1688" i="1"/>
  <c r="G1687" i="1"/>
  <c r="F1687" i="1"/>
  <c r="E1687" i="1"/>
  <c r="D1687" i="1"/>
  <c r="B1687" i="1"/>
  <c r="A1687" i="1"/>
  <c r="G1686" i="1"/>
  <c r="F1686" i="1"/>
  <c r="E1686" i="1"/>
  <c r="D1686" i="1"/>
  <c r="B1686" i="1"/>
  <c r="A1686" i="1"/>
  <c r="G1685" i="1"/>
  <c r="F1685" i="1"/>
  <c r="E1685" i="1"/>
  <c r="D1685" i="1"/>
  <c r="B1685" i="1"/>
  <c r="A1685" i="1"/>
  <c r="G1684" i="1"/>
  <c r="F1684" i="1"/>
  <c r="E1684" i="1"/>
  <c r="D1684" i="1"/>
  <c r="B1684" i="1"/>
  <c r="A1684" i="1"/>
  <c r="G1683" i="1"/>
  <c r="F1683" i="1"/>
  <c r="E1683" i="1"/>
  <c r="D1683" i="1"/>
  <c r="B1683" i="1"/>
  <c r="A1683" i="1"/>
  <c r="G1682" i="1"/>
  <c r="F1682" i="1"/>
  <c r="E1682" i="1"/>
  <c r="D1682" i="1"/>
  <c r="B1682" i="1"/>
  <c r="A1682" i="1"/>
  <c r="G1681" i="1"/>
  <c r="F1681" i="1"/>
  <c r="E1681" i="1"/>
  <c r="D1681" i="1"/>
  <c r="B1681" i="1"/>
  <c r="A1681" i="1"/>
  <c r="G1680" i="1"/>
  <c r="F1680" i="1"/>
  <c r="E1680" i="1"/>
  <c r="D1680" i="1"/>
  <c r="B1680" i="1"/>
  <c r="A1680" i="1"/>
  <c r="G1679" i="1"/>
  <c r="F1679" i="1"/>
  <c r="E1679" i="1"/>
  <c r="D1679" i="1"/>
  <c r="B1679" i="1"/>
  <c r="A1679" i="1"/>
  <c r="G1678" i="1"/>
  <c r="F1678" i="1"/>
  <c r="E1678" i="1"/>
  <c r="D1678" i="1"/>
  <c r="B1678" i="1"/>
  <c r="A1678" i="1"/>
  <c r="G1677" i="1"/>
  <c r="F1677" i="1"/>
  <c r="E1677" i="1"/>
  <c r="D1677" i="1"/>
  <c r="B1677" i="1"/>
  <c r="A1677" i="1"/>
  <c r="G1676" i="1"/>
  <c r="F1676" i="1"/>
  <c r="E1676" i="1"/>
  <c r="D1676" i="1"/>
  <c r="B1676" i="1"/>
  <c r="A1676" i="1"/>
  <c r="G1675" i="1"/>
  <c r="F1675" i="1"/>
  <c r="E1675" i="1"/>
  <c r="D1675" i="1"/>
  <c r="B1675" i="1"/>
  <c r="A1675" i="1"/>
  <c r="G1674" i="1"/>
  <c r="F1674" i="1"/>
  <c r="E1674" i="1"/>
  <c r="D1674" i="1"/>
  <c r="B1674" i="1"/>
  <c r="A1674" i="1"/>
  <c r="G1673" i="1"/>
  <c r="F1673" i="1"/>
  <c r="E1673" i="1"/>
  <c r="D1673" i="1"/>
  <c r="B1673" i="1"/>
  <c r="A1673" i="1"/>
  <c r="G1672" i="1"/>
  <c r="F1672" i="1"/>
  <c r="E1672" i="1"/>
  <c r="D1672" i="1"/>
  <c r="B1672" i="1"/>
  <c r="A1672" i="1"/>
  <c r="G1671" i="1"/>
  <c r="F1671" i="1"/>
  <c r="E1671" i="1"/>
  <c r="D1671" i="1"/>
  <c r="B1671" i="1"/>
  <c r="A1671" i="1"/>
  <c r="G1670" i="1"/>
  <c r="F1670" i="1"/>
  <c r="E1670" i="1"/>
  <c r="D1670" i="1"/>
  <c r="B1670" i="1"/>
  <c r="A1670" i="1"/>
  <c r="G1669" i="1"/>
  <c r="F1669" i="1"/>
  <c r="E1669" i="1"/>
  <c r="D1669" i="1"/>
  <c r="B1669" i="1"/>
  <c r="A1669" i="1"/>
  <c r="G1668" i="1"/>
  <c r="F1668" i="1"/>
  <c r="E1668" i="1"/>
  <c r="D1668" i="1"/>
  <c r="B1668" i="1"/>
  <c r="A1668" i="1"/>
  <c r="G1667" i="1"/>
  <c r="F1667" i="1"/>
  <c r="E1667" i="1"/>
  <c r="D1667" i="1"/>
  <c r="B1667" i="1"/>
  <c r="A1667" i="1"/>
  <c r="G1666" i="1"/>
  <c r="F1666" i="1"/>
  <c r="E1666" i="1"/>
  <c r="D1666" i="1"/>
  <c r="B1666" i="1"/>
  <c r="A1666" i="1"/>
  <c r="G1665" i="1"/>
  <c r="F1665" i="1"/>
  <c r="E1665" i="1"/>
  <c r="D1665" i="1"/>
  <c r="B1665" i="1"/>
  <c r="A1665" i="1"/>
  <c r="G1664" i="1"/>
  <c r="F1664" i="1"/>
  <c r="E1664" i="1"/>
  <c r="D1664" i="1"/>
  <c r="B1664" i="1"/>
  <c r="A1664" i="1"/>
  <c r="G1663" i="1"/>
  <c r="F1663" i="1"/>
  <c r="E1663" i="1"/>
  <c r="D1663" i="1"/>
  <c r="B1663" i="1"/>
  <c r="A1663" i="1"/>
  <c r="G1662" i="1"/>
  <c r="F1662" i="1"/>
  <c r="E1662" i="1"/>
  <c r="D1662" i="1"/>
  <c r="B1662" i="1"/>
  <c r="A1662" i="1"/>
  <c r="G1661" i="1"/>
  <c r="F1661" i="1"/>
  <c r="E1661" i="1"/>
  <c r="D1661" i="1"/>
  <c r="B1661" i="1"/>
  <c r="A1661" i="1"/>
  <c r="G1660" i="1"/>
  <c r="F1660" i="1"/>
  <c r="E1660" i="1"/>
  <c r="D1660" i="1"/>
  <c r="B1660" i="1"/>
  <c r="A1660" i="1"/>
  <c r="G1659" i="1"/>
  <c r="F1659" i="1"/>
  <c r="E1659" i="1"/>
  <c r="D1659" i="1"/>
  <c r="B1659" i="1"/>
  <c r="A1659" i="1"/>
  <c r="G1658" i="1"/>
  <c r="F1658" i="1"/>
  <c r="E1658" i="1"/>
  <c r="D1658" i="1"/>
  <c r="B1658" i="1"/>
  <c r="A1658" i="1"/>
  <c r="G1657" i="1"/>
  <c r="F1657" i="1"/>
  <c r="E1657" i="1"/>
  <c r="D1657" i="1"/>
  <c r="B1657" i="1"/>
  <c r="A1657" i="1"/>
  <c r="G1656" i="1"/>
  <c r="F1656" i="1"/>
  <c r="E1656" i="1"/>
  <c r="D1656" i="1"/>
  <c r="B1656" i="1"/>
  <c r="A1656" i="1"/>
  <c r="G1655" i="1"/>
  <c r="F1655" i="1"/>
  <c r="E1655" i="1"/>
  <c r="D1655" i="1"/>
  <c r="B1655" i="1"/>
  <c r="A1655" i="1"/>
  <c r="G1654" i="1"/>
  <c r="F1654" i="1"/>
  <c r="E1654" i="1"/>
  <c r="D1654" i="1"/>
  <c r="B1654" i="1"/>
  <c r="A1654" i="1"/>
  <c r="G1653" i="1"/>
  <c r="F1653" i="1"/>
  <c r="E1653" i="1"/>
  <c r="D1653" i="1"/>
  <c r="B1653" i="1"/>
  <c r="A1653" i="1"/>
  <c r="G1652" i="1"/>
  <c r="F1652" i="1"/>
  <c r="E1652" i="1"/>
  <c r="D1652" i="1"/>
  <c r="B1652" i="1"/>
  <c r="A1652" i="1"/>
  <c r="G1651" i="1"/>
  <c r="F1651" i="1"/>
  <c r="E1651" i="1"/>
  <c r="D1651" i="1"/>
  <c r="B1651" i="1"/>
  <c r="A1651" i="1"/>
  <c r="G1650" i="1"/>
  <c r="F1650" i="1"/>
  <c r="E1650" i="1"/>
  <c r="D1650" i="1"/>
  <c r="B1650" i="1"/>
  <c r="A1650" i="1"/>
  <c r="G1649" i="1"/>
  <c r="F1649" i="1"/>
  <c r="E1649" i="1"/>
  <c r="D1649" i="1"/>
  <c r="B1649" i="1"/>
  <c r="A1649" i="1"/>
  <c r="G1648" i="1"/>
  <c r="F1648" i="1"/>
  <c r="E1648" i="1"/>
  <c r="D1648" i="1"/>
  <c r="B1648" i="1"/>
  <c r="A1648" i="1"/>
  <c r="G1647" i="1"/>
  <c r="F1647" i="1"/>
  <c r="E1647" i="1"/>
  <c r="D1647" i="1"/>
  <c r="B1647" i="1"/>
  <c r="A1647" i="1"/>
  <c r="G1646" i="1"/>
  <c r="F1646" i="1"/>
  <c r="E1646" i="1"/>
  <c r="D1646" i="1"/>
  <c r="B1646" i="1"/>
  <c r="A1646" i="1"/>
  <c r="G1645" i="1"/>
  <c r="F1645" i="1"/>
  <c r="E1645" i="1"/>
  <c r="D1645" i="1"/>
  <c r="B1645" i="1"/>
  <c r="A1645" i="1"/>
  <c r="G1644" i="1"/>
  <c r="F1644" i="1"/>
  <c r="E1644" i="1"/>
  <c r="D1644" i="1"/>
  <c r="B1644" i="1"/>
  <c r="A1644" i="1"/>
  <c r="G1643" i="1"/>
  <c r="F1643" i="1"/>
  <c r="E1643" i="1"/>
  <c r="D1643" i="1"/>
  <c r="B1643" i="1"/>
  <c r="A1643" i="1"/>
  <c r="G1642" i="1"/>
  <c r="F1642" i="1"/>
  <c r="E1642" i="1"/>
  <c r="D1642" i="1"/>
  <c r="B1642" i="1"/>
  <c r="A1642" i="1"/>
  <c r="G1641" i="1"/>
  <c r="F1641" i="1"/>
  <c r="E1641" i="1"/>
  <c r="D1641" i="1"/>
  <c r="B1641" i="1"/>
  <c r="A1641" i="1"/>
  <c r="G1640" i="1"/>
  <c r="F1640" i="1"/>
  <c r="E1640" i="1"/>
  <c r="D1640" i="1"/>
  <c r="B1640" i="1"/>
  <c r="A1640" i="1"/>
  <c r="G1639" i="1"/>
  <c r="F1639" i="1"/>
  <c r="E1639" i="1"/>
  <c r="D1639" i="1"/>
  <c r="B1639" i="1"/>
  <c r="A1639" i="1"/>
  <c r="G1638" i="1"/>
  <c r="F1638" i="1"/>
  <c r="E1638" i="1"/>
  <c r="D1638" i="1"/>
  <c r="B1638" i="1"/>
  <c r="A1638" i="1"/>
  <c r="G1637" i="1"/>
  <c r="F1637" i="1"/>
  <c r="E1637" i="1"/>
  <c r="D1637" i="1"/>
  <c r="B1637" i="1"/>
  <c r="A1637" i="1"/>
  <c r="G1636" i="1"/>
  <c r="F1636" i="1"/>
  <c r="E1636" i="1"/>
  <c r="D1636" i="1"/>
  <c r="B1636" i="1"/>
  <c r="A1636" i="1"/>
  <c r="G1635" i="1"/>
  <c r="F1635" i="1"/>
  <c r="E1635" i="1"/>
  <c r="D1635" i="1"/>
  <c r="B1635" i="1"/>
  <c r="A1635" i="1"/>
  <c r="G1634" i="1"/>
  <c r="F1634" i="1"/>
  <c r="E1634" i="1"/>
  <c r="D1634" i="1"/>
  <c r="B1634" i="1"/>
  <c r="A1634" i="1"/>
  <c r="G1633" i="1"/>
  <c r="F1633" i="1"/>
  <c r="E1633" i="1"/>
  <c r="D1633" i="1"/>
  <c r="B1633" i="1"/>
  <c r="A1633" i="1"/>
  <c r="G1632" i="1"/>
  <c r="F1632" i="1"/>
  <c r="E1632" i="1"/>
  <c r="D1632" i="1"/>
  <c r="B1632" i="1"/>
  <c r="A1632" i="1"/>
  <c r="G1631" i="1"/>
  <c r="F1631" i="1"/>
  <c r="E1631" i="1"/>
  <c r="D1631" i="1"/>
  <c r="B1631" i="1"/>
  <c r="A1631" i="1"/>
  <c r="G1630" i="1"/>
  <c r="F1630" i="1"/>
  <c r="E1630" i="1"/>
  <c r="D1630" i="1"/>
  <c r="B1630" i="1"/>
  <c r="A1630" i="1"/>
  <c r="G1629" i="1"/>
  <c r="F1629" i="1"/>
  <c r="E1629" i="1"/>
  <c r="D1629" i="1"/>
  <c r="B1629" i="1"/>
  <c r="A1629" i="1"/>
  <c r="G1628" i="1"/>
  <c r="F1628" i="1"/>
  <c r="E1628" i="1"/>
  <c r="D1628" i="1"/>
  <c r="B1628" i="1"/>
  <c r="A1628" i="1"/>
  <c r="G1627" i="1"/>
  <c r="F1627" i="1"/>
  <c r="E1627" i="1"/>
  <c r="D1627" i="1"/>
  <c r="B1627" i="1"/>
  <c r="A1627" i="1"/>
  <c r="G1626" i="1"/>
  <c r="F1626" i="1"/>
  <c r="E1626" i="1"/>
  <c r="D1626" i="1"/>
  <c r="B1626" i="1"/>
  <c r="A1626" i="1"/>
  <c r="G1625" i="1"/>
  <c r="F1625" i="1"/>
  <c r="E1625" i="1"/>
  <c r="D1625" i="1"/>
  <c r="B1625" i="1"/>
  <c r="A1625" i="1"/>
  <c r="G1624" i="1"/>
  <c r="F1624" i="1"/>
  <c r="E1624" i="1"/>
  <c r="D1624" i="1"/>
  <c r="B1624" i="1"/>
  <c r="A1624" i="1"/>
  <c r="G1623" i="1"/>
  <c r="F1623" i="1"/>
  <c r="E1623" i="1"/>
  <c r="D1623" i="1"/>
  <c r="B1623" i="1"/>
  <c r="A1623" i="1"/>
  <c r="G1622" i="1"/>
  <c r="F1622" i="1"/>
  <c r="E1622" i="1"/>
  <c r="D1622" i="1"/>
  <c r="B1622" i="1"/>
  <c r="A1622" i="1"/>
  <c r="G1621" i="1"/>
  <c r="F1621" i="1"/>
  <c r="E1621" i="1"/>
  <c r="D1621" i="1"/>
  <c r="B1621" i="1"/>
  <c r="A1621" i="1"/>
  <c r="G1620" i="1"/>
  <c r="F1620" i="1"/>
  <c r="E1620" i="1"/>
  <c r="D1620" i="1"/>
  <c r="B1620" i="1"/>
  <c r="A1620" i="1"/>
  <c r="G1619" i="1"/>
  <c r="F1619" i="1"/>
  <c r="E1619" i="1"/>
  <c r="D1619" i="1"/>
  <c r="B1619" i="1"/>
  <c r="A1619" i="1"/>
  <c r="G1618" i="1"/>
  <c r="F1618" i="1"/>
  <c r="E1618" i="1"/>
  <c r="D1618" i="1"/>
  <c r="B1618" i="1"/>
  <c r="A1618" i="1"/>
  <c r="G1617" i="1"/>
  <c r="F1617" i="1"/>
  <c r="E1617" i="1"/>
  <c r="D1617" i="1"/>
  <c r="B1617" i="1"/>
  <c r="A1617" i="1"/>
  <c r="G1616" i="1"/>
  <c r="F1616" i="1"/>
  <c r="E1616" i="1"/>
  <c r="D1616" i="1"/>
  <c r="B1616" i="1"/>
  <c r="A1616" i="1"/>
  <c r="G1615" i="1"/>
  <c r="F1615" i="1"/>
  <c r="E1615" i="1"/>
  <c r="D1615" i="1"/>
  <c r="B1615" i="1"/>
  <c r="A1615" i="1"/>
  <c r="G1614" i="1"/>
  <c r="F1614" i="1"/>
  <c r="E1614" i="1"/>
  <c r="D1614" i="1"/>
  <c r="B1614" i="1"/>
  <c r="A1614" i="1"/>
  <c r="G1613" i="1"/>
  <c r="F1613" i="1"/>
  <c r="E1613" i="1"/>
  <c r="D1613" i="1"/>
  <c r="B1613" i="1"/>
  <c r="A1613" i="1"/>
  <c r="G1612" i="1"/>
  <c r="F1612" i="1"/>
  <c r="E1612" i="1"/>
  <c r="D1612" i="1"/>
  <c r="B1612" i="1"/>
  <c r="A1612" i="1"/>
  <c r="G1611" i="1"/>
  <c r="F1611" i="1"/>
  <c r="E1611" i="1"/>
  <c r="D1611" i="1"/>
  <c r="B1611" i="1"/>
  <c r="A1611" i="1"/>
  <c r="G1610" i="1"/>
  <c r="F1610" i="1"/>
  <c r="E1610" i="1"/>
  <c r="D1610" i="1"/>
  <c r="B1610" i="1"/>
  <c r="A1610" i="1"/>
  <c r="G1609" i="1"/>
  <c r="F1609" i="1"/>
  <c r="E1609" i="1"/>
  <c r="D1609" i="1"/>
  <c r="B1609" i="1"/>
  <c r="A1609" i="1"/>
  <c r="G1608" i="1"/>
  <c r="F1608" i="1"/>
  <c r="E1608" i="1"/>
  <c r="D1608" i="1"/>
  <c r="B1608" i="1"/>
  <c r="A1608" i="1"/>
  <c r="G1607" i="1"/>
  <c r="F1607" i="1"/>
  <c r="E1607" i="1"/>
  <c r="D1607" i="1"/>
  <c r="B1607" i="1"/>
  <c r="A1607" i="1"/>
  <c r="G1606" i="1"/>
  <c r="F1606" i="1"/>
  <c r="E1606" i="1"/>
  <c r="D1606" i="1"/>
  <c r="B1606" i="1"/>
  <c r="A1606" i="1"/>
  <c r="G1605" i="1"/>
  <c r="F1605" i="1"/>
  <c r="E1605" i="1"/>
  <c r="D1605" i="1"/>
  <c r="B1605" i="1"/>
  <c r="A1605" i="1"/>
  <c r="G1604" i="1"/>
  <c r="F1604" i="1"/>
  <c r="E1604" i="1"/>
  <c r="D1604" i="1"/>
  <c r="B1604" i="1"/>
  <c r="A1604" i="1"/>
  <c r="G1603" i="1"/>
  <c r="F1603" i="1"/>
  <c r="E1603" i="1"/>
  <c r="D1603" i="1"/>
  <c r="B1603" i="1"/>
  <c r="A1603" i="1"/>
  <c r="G1601" i="1"/>
  <c r="F1601" i="1"/>
  <c r="E1601" i="1"/>
  <c r="D1601" i="1"/>
  <c r="B1601" i="1"/>
  <c r="A1601" i="1"/>
  <c r="G1600" i="1"/>
  <c r="F1600" i="1"/>
  <c r="E1600" i="1"/>
  <c r="D1600" i="1"/>
  <c r="B1600" i="1"/>
  <c r="A1600" i="1"/>
  <c r="G1599" i="1"/>
  <c r="F1599" i="1"/>
  <c r="E1599" i="1"/>
  <c r="D1599" i="1"/>
  <c r="B1599" i="1"/>
  <c r="A1599" i="1"/>
  <c r="G1598" i="1"/>
  <c r="F1598" i="1"/>
  <c r="E1598" i="1"/>
  <c r="D1598" i="1"/>
  <c r="B1598" i="1"/>
  <c r="A1598" i="1"/>
  <c r="G1597" i="1"/>
  <c r="F1597" i="1"/>
  <c r="E1597" i="1"/>
  <c r="D1597" i="1"/>
  <c r="B1597" i="1"/>
  <c r="A1597" i="1"/>
  <c r="G1596" i="1"/>
  <c r="F1596" i="1"/>
  <c r="E1596" i="1"/>
  <c r="D1596" i="1"/>
  <c r="B1596" i="1"/>
  <c r="A1596" i="1"/>
  <c r="G1595" i="1"/>
  <c r="F1595" i="1"/>
  <c r="E1595" i="1"/>
  <c r="D1595" i="1"/>
  <c r="B1595" i="1"/>
  <c r="A1595" i="1"/>
  <c r="G1594" i="1"/>
  <c r="F1594" i="1"/>
  <c r="E1594" i="1"/>
  <c r="D1594" i="1"/>
  <c r="B1594" i="1"/>
  <c r="A1594" i="1"/>
  <c r="G1593" i="1"/>
  <c r="F1593" i="1"/>
  <c r="E1593" i="1"/>
  <c r="D1593" i="1"/>
  <c r="B1593" i="1"/>
  <c r="A1593" i="1"/>
  <c r="G1592" i="1"/>
  <c r="F1592" i="1"/>
  <c r="E1592" i="1"/>
  <c r="D1592" i="1"/>
  <c r="B1592" i="1"/>
  <c r="A1592" i="1"/>
  <c r="G1591" i="1"/>
  <c r="F1591" i="1"/>
  <c r="E1591" i="1"/>
  <c r="D1591" i="1"/>
  <c r="B1591" i="1"/>
  <c r="A1591" i="1"/>
  <c r="G1590" i="1"/>
  <c r="F1590" i="1"/>
  <c r="E1590" i="1"/>
  <c r="D1590" i="1"/>
  <c r="B1590" i="1"/>
  <c r="A1590" i="1"/>
  <c r="G1589" i="1"/>
  <c r="F1589" i="1"/>
  <c r="E1589" i="1"/>
  <c r="D1589" i="1"/>
  <c r="B1589" i="1"/>
  <c r="A1589" i="1"/>
  <c r="G1588" i="1"/>
  <c r="F1588" i="1"/>
  <c r="E1588" i="1"/>
  <c r="D1588" i="1"/>
  <c r="B1588" i="1"/>
  <c r="A1588" i="1"/>
  <c r="G1587" i="1"/>
  <c r="F1587" i="1"/>
  <c r="E1587" i="1"/>
  <c r="D1587" i="1"/>
  <c r="B1587" i="1"/>
  <c r="A1587" i="1"/>
  <c r="G1586" i="1"/>
  <c r="F1586" i="1"/>
  <c r="E1586" i="1"/>
  <c r="D1586" i="1"/>
  <c r="B1586" i="1"/>
  <c r="A1586" i="1"/>
  <c r="G1585" i="1"/>
  <c r="F1585" i="1"/>
  <c r="E1585" i="1"/>
  <c r="D1585" i="1"/>
  <c r="B1585" i="1"/>
  <c r="A1585" i="1"/>
  <c r="G1584" i="1"/>
  <c r="F1584" i="1"/>
  <c r="E1584" i="1"/>
  <c r="D1584" i="1"/>
  <c r="B1584" i="1"/>
  <c r="A1584" i="1"/>
  <c r="G1583" i="1"/>
  <c r="F1583" i="1"/>
  <c r="E1583" i="1"/>
  <c r="D1583" i="1"/>
  <c r="B1583" i="1"/>
  <c r="A1583" i="1"/>
  <c r="G1582" i="1"/>
  <c r="F1582" i="1"/>
  <c r="E1582" i="1"/>
  <c r="D1582" i="1"/>
  <c r="B1582" i="1"/>
  <c r="A1582" i="1"/>
  <c r="G1581" i="1"/>
  <c r="F1581" i="1"/>
  <c r="E1581" i="1"/>
  <c r="D1581" i="1"/>
  <c r="B1581" i="1"/>
  <c r="A1581" i="1"/>
  <c r="G1580" i="1"/>
  <c r="F1580" i="1"/>
  <c r="E1580" i="1"/>
  <c r="D1580" i="1"/>
  <c r="B1580" i="1"/>
  <c r="A1580" i="1"/>
  <c r="G1579" i="1"/>
  <c r="F1579" i="1"/>
  <c r="E1579" i="1"/>
  <c r="D1579" i="1"/>
  <c r="B1579" i="1"/>
  <c r="A1579" i="1"/>
  <c r="G1578" i="1"/>
  <c r="F1578" i="1"/>
  <c r="E1578" i="1"/>
  <c r="D1578" i="1"/>
  <c r="B1578" i="1"/>
  <c r="A1578" i="1"/>
  <c r="G1577" i="1"/>
  <c r="F1577" i="1"/>
  <c r="E1577" i="1"/>
  <c r="D1577" i="1"/>
  <c r="B1577" i="1"/>
  <c r="A1577" i="1"/>
  <c r="G1576" i="1"/>
  <c r="F1576" i="1"/>
  <c r="E1576" i="1"/>
  <c r="D1576" i="1"/>
  <c r="B1576" i="1"/>
  <c r="A1576" i="1"/>
  <c r="G1575" i="1"/>
  <c r="F1575" i="1"/>
  <c r="E1575" i="1"/>
  <c r="D1575" i="1"/>
  <c r="B1575" i="1"/>
  <c r="A1575" i="1"/>
  <c r="G1574" i="1"/>
  <c r="F1574" i="1"/>
  <c r="E1574" i="1"/>
  <c r="D1574" i="1"/>
  <c r="B1574" i="1"/>
  <c r="A1574" i="1"/>
  <c r="G1573" i="1"/>
  <c r="F1573" i="1"/>
  <c r="E1573" i="1"/>
  <c r="D1573" i="1"/>
  <c r="B1573" i="1"/>
  <c r="A1573" i="1"/>
  <c r="G1572" i="1"/>
  <c r="F1572" i="1"/>
  <c r="E1572" i="1"/>
  <c r="D1572" i="1"/>
  <c r="B1572" i="1"/>
  <c r="A1572" i="1"/>
  <c r="G1571" i="1"/>
  <c r="F1571" i="1"/>
  <c r="E1571" i="1"/>
  <c r="D1571" i="1"/>
  <c r="B1571" i="1"/>
  <c r="A1571" i="1"/>
  <c r="G1570" i="1"/>
  <c r="F1570" i="1"/>
  <c r="E1570" i="1"/>
  <c r="D1570" i="1"/>
  <c r="B1570" i="1"/>
  <c r="A1570" i="1"/>
  <c r="G1569" i="1"/>
  <c r="F1569" i="1"/>
  <c r="E1569" i="1"/>
  <c r="D1569" i="1"/>
  <c r="B1569" i="1"/>
  <c r="A1569" i="1"/>
  <c r="G1568" i="1"/>
  <c r="F1568" i="1"/>
  <c r="E1568" i="1"/>
  <c r="D1568" i="1"/>
  <c r="B1568" i="1"/>
  <c r="A1568" i="1"/>
  <c r="G1567" i="1"/>
  <c r="F1567" i="1"/>
  <c r="E1567" i="1"/>
  <c r="D1567" i="1"/>
  <c r="B1567" i="1"/>
  <c r="A1567" i="1"/>
  <c r="G1566" i="1"/>
  <c r="F1566" i="1"/>
  <c r="E1566" i="1"/>
  <c r="D1566" i="1"/>
  <c r="B1566" i="1"/>
  <c r="A1566" i="1"/>
  <c r="G1565" i="1"/>
  <c r="F1565" i="1"/>
  <c r="E1565" i="1"/>
  <c r="D1565" i="1"/>
  <c r="B1565" i="1"/>
  <c r="A1565" i="1"/>
  <c r="G1564" i="1"/>
  <c r="F1564" i="1"/>
  <c r="E1564" i="1"/>
  <c r="D1564" i="1"/>
  <c r="B1564" i="1"/>
  <c r="A1564" i="1"/>
  <c r="G1563" i="1"/>
  <c r="F1563" i="1"/>
  <c r="E1563" i="1"/>
  <c r="D1563" i="1"/>
  <c r="B1563" i="1"/>
  <c r="A1563" i="1"/>
  <c r="G1562" i="1"/>
  <c r="F1562" i="1"/>
  <c r="E1562" i="1"/>
  <c r="D1562" i="1"/>
  <c r="B1562" i="1"/>
  <c r="A1562" i="1"/>
  <c r="G1561" i="1"/>
  <c r="F1561" i="1"/>
  <c r="E1561" i="1"/>
  <c r="D1561" i="1"/>
  <c r="B1561" i="1"/>
  <c r="A1561" i="1"/>
  <c r="G1560" i="1"/>
  <c r="F1560" i="1"/>
  <c r="E1560" i="1"/>
  <c r="D1560" i="1"/>
  <c r="B1560" i="1"/>
  <c r="A1560" i="1"/>
  <c r="G1559" i="1"/>
  <c r="F1559" i="1"/>
  <c r="E1559" i="1"/>
  <c r="D1559" i="1"/>
  <c r="B1559" i="1"/>
  <c r="A1559" i="1"/>
  <c r="G1558" i="1"/>
  <c r="F1558" i="1"/>
  <c r="E1558" i="1"/>
  <c r="D1558" i="1"/>
  <c r="B1558" i="1"/>
  <c r="A1558" i="1"/>
  <c r="G1557" i="1"/>
  <c r="F1557" i="1"/>
  <c r="E1557" i="1"/>
  <c r="D1557" i="1"/>
  <c r="B1557" i="1"/>
  <c r="A1557" i="1"/>
  <c r="G1556" i="1"/>
  <c r="F1556" i="1"/>
  <c r="E1556" i="1"/>
  <c r="D1556" i="1"/>
  <c r="B1556" i="1"/>
  <c r="A1556" i="1"/>
  <c r="G1555" i="1"/>
  <c r="F1555" i="1"/>
  <c r="E1555" i="1"/>
  <c r="D1555" i="1"/>
  <c r="B1555" i="1"/>
  <c r="A1555" i="1"/>
  <c r="G1554" i="1"/>
  <c r="F1554" i="1"/>
  <c r="E1554" i="1"/>
  <c r="D1554" i="1"/>
  <c r="B1554" i="1"/>
  <c r="A1554" i="1"/>
  <c r="G1553" i="1"/>
  <c r="F1553" i="1"/>
  <c r="E1553" i="1"/>
  <c r="D1553" i="1"/>
  <c r="B1553" i="1"/>
  <c r="A1553" i="1"/>
  <c r="G1552" i="1"/>
  <c r="F1552" i="1"/>
  <c r="E1552" i="1"/>
  <c r="D1552" i="1"/>
  <c r="B1552" i="1"/>
  <c r="A1552" i="1"/>
  <c r="G1551" i="1"/>
  <c r="F1551" i="1"/>
  <c r="E1551" i="1"/>
  <c r="D1551" i="1"/>
  <c r="B1551" i="1"/>
  <c r="A1551" i="1"/>
  <c r="G1550" i="1"/>
  <c r="F1550" i="1"/>
  <c r="E1550" i="1"/>
  <c r="D1550" i="1"/>
  <c r="B1550" i="1"/>
  <c r="A1550" i="1"/>
  <c r="G1549" i="1"/>
  <c r="F1549" i="1"/>
  <c r="E1549" i="1"/>
  <c r="D1549" i="1"/>
  <c r="B1549" i="1"/>
  <c r="A1549" i="1"/>
  <c r="G1548" i="1"/>
  <c r="F1548" i="1"/>
  <c r="E1548" i="1"/>
  <c r="D1548" i="1"/>
  <c r="B1548" i="1"/>
  <c r="A1548" i="1"/>
  <c r="G1547" i="1"/>
  <c r="F1547" i="1"/>
  <c r="E1547" i="1"/>
  <c r="D1547" i="1"/>
  <c r="B1547" i="1"/>
  <c r="A1547" i="1"/>
  <c r="G1546" i="1"/>
  <c r="F1546" i="1"/>
  <c r="E1546" i="1"/>
  <c r="D1546" i="1"/>
  <c r="B1546" i="1"/>
  <c r="A1546" i="1"/>
  <c r="G1545" i="1"/>
  <c r="F1545" i="1"/>
  <c r="E1545" i="1"/>
  <c r="D1545" i="1"/>
  <c r="B1545" i="1"/>
  <c r="A1545" i="1"/>
  <c r="G1544" i="1"/>
  <c r="F1544" i="1"/>
  <c r="E1544" i="1"/>
  <c r="D1544" i="1"/>
  <c r="B1544" i="1"/>
  <c r="A1544" i="1"/>
  <c r="G1543" i="1"/>
  <c r="F1543" i="1"/>
  <c r="E1543" i="1"/>
  <c r="D1543" i="1"/>
  <c r="B1543" i="1"/>
  <c r="A1543" i="1"/>
  <c r="G1542" i="1"/>
  <c r="F1542" i="1"/>
  <c r="E1542" i="1"/>
  <c r="D1542" i="1"/>
  <c r="B1542" i="1"/>
  <c r="A1542" i="1"/>
  <c r="G1541" i="1"/>
  <c r="F1541" i="1"/>
  <c r="E1541" i="1"/>
  <c r="D1541" i="1"/>
  <c r="B1541" i="1"/>
  <c r="A1541" i="1"/>
  <c r="G1540" i="1"/>
  <c r="F1540" i="1"/>
  <c r="E1540" i="1"/>
  <c r="D1540" i="1"/>
  <c r="B1540" i="1"/>
  <c r="A1540" i="1"/>
  <c r="G1539" i="1"/>
  <c r="F1539" i="1"/>
  <c r="E1539" i="1"/>
  <c r="D1539" i="1"/>
  <c r="B1539" i="1"/>
  <c r="A1539" i="1"/>
  <c r="G1538" i="1"/>
  <c r="F1538" i="1"/>
  <c r="E1538" i="1"/>
  <c r="D1538" i="1"/>
  <c r="B1538" i="1"/>
  <c r="A1538" i="1"/>
  <c r="G1537" i="1"/>
  <c r="F1537" i="1"/>
  <c r="E1537" i="1"/>
  <c r="D1537" i="1"/>
  <c r="B1537" i="1"/>
  <c r="A1537" i="1"/>
  <c r="G1536" i="1"/>
  <c r="F1536" i="1"/>
  <c r="E1536" i="1"/>
  <c r="D1536" i="1"/>
  <c r="B1536" i="1"/>
  <c r="A1536" i="1"/>
  <c r="G1535" i="1"/>
  <c r="F1535" i="1"/>
  <c r="E1535" i="1"/>
  <c r="D1535" i="1"/>
  <c r="B1535" i="1"/>
  <c r="A1535" i="1"/>
  <c r="G1534" i="1"/>
  <c r="F1534" i="1"/>
  <c r="E1534" i="1"/>
  <c r="D1534" i="1"/>
  <c r="B1534" i="1"/>
  <c r="A1534" i="1"/>
  <c r="G1533" i="1"/>
  <c r="F1533" i="1"/>
  <c r="E1533" i="1"/>
  <c r="D1533" i="1"/>
  <c r="B1533" i="1"/>
  <c r="A1533" i="1"/>
  <c r="G1532" i="1"/>
  <c r="F1532" i="1"/>
  <c r="E1532" i="1"/>
  <c r="D1532" i="1"/>
  <c r="B1532" i="1"/>
  <c r="A1532" i="1"/>
  <c r="G1531" i="1"/>
  <c r="F1531" i="1"/>
  <c r="E1531" i="1"/>
  <c r="D1531" i="1"/>
  <c r="B1531" i="1"/>
  <c r="A1531" i="1"/>
  <c r="G1530" i="1"/>
  <c r="F1530" i="1"/>
  <c r="E1530" i="1"/>
  <c r="D1530" i="1"/>
  <c r="B1530" i="1"/>
  <c r="A1530" i="1"/>
  <c r="G1529" i="1"/>
  <c r="F1529" i="1"/>
  <c r="E1529" i="1"/>
  <c r="D1529" i="1"/>
  <c r="B1529" i="1"/>
  <c r="A1529" i="1"/>
  <c r="G1528" i="1"/>
  <c r="F1528" i="1"/>
  <c r="E1528" i="1"/>
  <c r="D1528" i="1"/>
  <c r="B1528" i="1"/>
  <c r="A1528" i="1"/>
  <c r="G1527" i="1"/>
  <c r="F1527" i="1"/>
  <c r="E1527" i="1"/>
  <c r="D1527" i="1"/>
  <c r="B1527" i="1"/>
  <c r="A1527" i="1"/>
  <c r="G1526" i="1"/>
  <c r="F1526" i="1"/>
  <c r="E1526" i="1"/>
  <c r="D1526" i="1"/>
  <c r="B1526" i="1"/>
  <c r="A1526" i="1"/>
  <c r="G1525" i="1"/>
  <c r="F1525" i="1"/>
  <c r="E1525" i="1"/>
  <c r="D1525" i="1"/>
  <c r="B1525" i="1"/>
  <c r="A1525" i="1"/>
  <c r="G1524" i="1"/>
  <c r="F1524" i="1"/>
  <c r="E1524" i="1"/>
  <c r="D1524" i="1"/>
  <c r="B1524" i="1"/>
  <c r="A1524" i="1"/>
  <c r="G1523" i="1"/>
  <c r="F1523" i="1"/>
  <c r="E1523" i="1"/>
  <c r="D1523" i="1"/>
  <c r="B1523" i="1"/>
  <c r="A1523" i="1"/>
  <c r="G1522" i="1"/>
  <c r="F1522" i="1"/>
  <c r="E1522" i="1"/>
  <c r="D1522" i="1"/>
  <c r="B1522" i="1"/>
  <c r="A1522" i="1"/>
  <c r="G1521" i="1"/>
  <c r="F1521" i="1"/>
  <c r="E1521" i="1"/>
  <c r="D1521" i="1"/>
  <c r="B1521" i="1"/>
  <c r="A1521" i="1"/>
  <c r="G1520" i="1"/>
  <c r="F1520" i="1"/>
  <c r="E1520" i="1"/>
  <c r="D1520" i="1"/>
  <c r="B1520" i="1"/>
  <c r="A1520" i="1"/>
  <c r="G1519" i="1"/>
  <c r="F1519" i="1"/>
  <c r="E1519" i="1"/>
  <c r="D1519" i="1"/>
  <c r="B1519" i="1"/>
  <c r="A1519" i="1"/>
  <c r="G1518" i="1"/>
  <c r="F1518" i="1"/>
  <c r="E1518" i="1"/>
  <c r="D1518" i="1"/>
  <c r="B1518" i="1"/>
  <c r="A1518" i="1"/>
  <c r="G1517" i="1"/>
  <c r="F1517" i="1"/>
  <c r="E1517" i="1"/>
  <c r="D1517" i="1"/>
  <c r="B1517" i="1"/>
  <c r="A1517" i="1"/>
  <c r="G1516" i="1"/>
  <c r="F1516" i="1"/>
  <c r="E1516" i="1"/>
  <c r="D1516" i="1"/>
  <c r="B1516" i="1"/>
  <c r="A1516" i="1"/>
  <c r="G1515" i="1"/>
  <c r="F1515" i="1"/>
  <c r="E1515" i="1"/>
  <c r="D1515" i="1"/>
  <c r="B1515" i="1"/>
  <c r="A1515" i="1"/>
  <c r="G1514" i="1"/>
  <c r="F1514" i="1"/>
  <c r="E1514" i="1"/>
  <c r="D1514" i="1"/>
  <c r="B1514" i="1"/>
  <c r="A1514" i="1"/>
  <c r="G1513" i="1"/>
  <c r="F1513" i="1"/>
  <c r="E1513" i="1"/>
  <c r="D1513" i="1"/>
  <c r="B1513" i="1"/>
  <c r="A1513" i="1"/>
  <c r="G1512" i="1"/>
  <c r="F1512" i="1"/>
  <c r="E1512" i="1"/>
  <c r="D1512" i="1"/>
  <c r="B1512" i="1"/>
  <c r="A1512" i="1"/>
  <c r="G1511" i="1"/>
  <c r="F1511" i="1"/>
  <c r="E1511" i="1"/>
  <c r="D1511" i="1"/>
  <c r="B1511" i="1"/>
  <c r="A1511" i="1"/>
  <c r="G1510" i="1"/>
  <c r="F1510" i="1"/>
  <c r="E1510" i="1"/>
  <c r="D1510" i="1"/>
  <c r="B1510" i="1"/>
  <c r="A1510" i="1"/>
  <c r="G1509" i="1"/>
  <c r="F1509" i="1"/>
  <c r="E1509" i="1"/>
  <c r="D1509" i="1"/>
  <c r="B1509" i="1"/>
  <c r="A1509" i="1"/>
  <c r="G1508" i="1"/>
  <c r="F1508" i="1"/>
  <c r="E1508" i="1"/>
  <c r="D1508" i="1"/>
  <c r="B1508" i="1"/>
  <c r="A1508" i="1"/>
  <c r="G1507" i="1"/>
  <c r="F1507" i="1"/>
  <c r="E1507" i="1"/>
  <c r="D1507" i="1"/>
  <c r="B1507" i="1"/>
  <c r="A1507" i="1"/>
  <c r="G1506" i="1"/>
  <c r="F1506" i="1"/>
  <c r="E1506" i="1"/>
  <c r="D1506" i="1"/>
  <c r="B1506" i="1"/>
  <c r="A1506" i="1"/>
  <c r="G1505" i="1"/>
  <c r="F1505" i="1"/>
  <c r="E1505" i="1"/>
  <c r="D1505" i="1"/>
  <c r="B1505" i="1"/>
  <c r="A1505" i="1"/>
  <c r="G1504" i="1"/>
  <c r="F1504" i="1"/>
  <c r="E1504" i="1"/>
  <c r="D1504" i="1"/>
  <c r="B1504" i="1"/>
  <c r="A1504" i="1"/>
  <c r="G1503" i="1"/>
  <c r="F1503" i="1"/>
  <c r="E1503" i="1"/>
  <c r="D1503" i="1"/>
  <c r="B1503" i="1"/>
  <c r="A1503" i="1"/>
  <c r="G1502" i="1"/>
  <c r="F1502" i="1"/>
  <c r="E1502" i="1"/>
  <c r="D1502" i="1"/>
  <c r="B1502" i="1"/>
  <c r="A1502" i="1"/>
  <c r="G1501" i="1"/>
  <c r="F1501" i="1"/>
  <c r="E1501" i="1"/>
  <c r="D1501" i="1"/>
  <c r="B1501" i="1"/>
  <c r="A1501" i="1"/>
  <c r="G1500" i="1"/>
  <c r="F1500" i="1"/>
  <c r="E1500" i="1"/>
  <c r="D1500" i="1"/>
  <c r="B1500" i="1"/>
  <c r="A1500" i="1"/>
  <c r="G1499" i="1"/>
  <c r="F1499" i="1"/>
  <c r="E1499" i="1"/>
  <c r="D1499" i="1"/>
  <c r="B1499" i="1"/>
  <c r="A1499" i="1"/>
  <c r="G1498" i="1"/>
  <c r="F1498" i="1"/>
  <c r="E1498" i="1"/>
  <c r="D1498" i="1"/>
  <c r="B1498" i="1"/>
  <c r="A1498" i="1"/>
  <c r="G1497" i="1"/>
  <c r="F1497" i="1"/>
  <c r="E1497" i="1"/>
  <c r="D1497" i="1"/>
  <c r="B1497" i="1"/>
  <c r="A1497" i="1"/>
  <c r="G1496" i="1"/>
  <c r="F1496" i="1"/>
  <c r="E1496" i="1"/>
  <c r="D1496" i="1"/>
  <c r="B1496" i="1"/>
  <c r="A1496" i="1"/>
  <c r="G1495" i="1"/>
  <c r="F1495" i="1"/>
  <c r="E1495" i="1"/>
  <c r="D1495" i="1"/>
  <c r="B1495" i="1"/>
  <c r="A1495" i="1"/>
  <c r="G1494" i="1"/>
  <c r="F1494" i="1"/>
  <c r="E1494" i="1"/>
  <c r="D1494" i="1"/>
  <c r="B1494" i="1"/>
  <c r="A1494" i="1"/>
  <c r="G1493" i="1"/>
  <c r="F1493" i="1"/>
  <c r="E1493" i="1"/>
  <c r="D1493" i="1"/>
  <c r="B1493" i="1"/>
  <c r="A1493" i="1"/>
  <c r="G1492" i="1"/>
  <c r="F1492" i="1"/>
  <c r="E1492" i="1"/>
  <c r="D1492" i="1"/>
  <c r="B1492" i="1"/>
  <c r="A1492" i="1"/>
  <c r="G1491" i="1"/>
  <c r="F1491" i="1"/>
  <c r="E1491" i="1"/>
  <c r="D1491" i="1"/>
  <c r="B1491" i="1"/>
  <c r="A1491" i="1"/>
  <c r="G1490" i="1"/>
  <c r="F1490" i="1"/>
  <c r="E1490" i="1"/>
  <c r="D1490" i="1"/>
  <c r="B1490" i="1"/>
  <c r="A1490" i="1"/>
  <c r="G1489" i="1"/>
  <c r="F1489" i="1"/>
  <c r="E1489" i="1"/>
  <c r="D1489" i="1"/>
  <c r="B1489" i="1"/>
  <c r="A1489" i="1"/>
  <c r="G1488" i="1"/>
  <c r="F1488" i="1"/>
  <c r="E1488" i="1"/>
  <c r="D1488" i="1"/>
  <c r="B1488" i="1"/>
  <c r="A1488" i="1"/>
  <c r="G1487" i="1"/>
  <c r="F1487" i="1"/>
  <c r="E1487" i="1"/>
  <c r="D1487" i="1"/>
  <c r="B1487" i="1"/>
  <c r="A1487" i="1"/>
  <c r="G1486" i="1"/>
  <c r="F1486" i="1"/>
  <c r="E1486" i="1"/>
  <c r="D1486" i="1"/>
  <c r="B1486" i="1"/>
  <c r="A1486" i="1"/>
  <c r="G1485" i="1"/>
  <c r="F1485" i="1"/>
  <c r="E1485" i="1"/>
  <c r="D1485" i="1"/>
  <c r="B1485" i="1"/>
  <c r="A1485" i="1"/>
  <c r="G1484" i="1"/>
  <c r="F1484" i="1"/>
  <c r="E1484" i="1"/>
  <c r="D1484" i="1"/>
  <c r="B1484" i="1"/>
  <c r="A1484" i="1"/>
  <c r="G1483" i="1"/>
  <c r="F1483" i="1"/>
  <c r="E1483" i="1"/>
  <c r="D1483" i="1"/>
  <c r="B1483" i="1"/>
  <c r="A1483" i="1"/>
  <c r="G1482" i="1"/>
  <c r="F1482" i="1"/>
  <c r="E1482" i="1"/>
  <c r="D1482" i="1"/>
  <c r="B1482" i="1"/>
  <c r="A1482" i="1"/>
  <c r="G1481" i="1"/>
  <c r="F1481" i="1"/>
  <c r="E1481" i="1"/>
  <c r="D1481" i="1"/>
  <c r="B1481" i="1"/>
  <c r="A1481" i="1"/>
  <c r="G1480" i="1"/>
  <c r="F1480" i="1"/>
  <c r="E1480" i="1"/>
  <c r="D1480" i="1"/>
  <c r="B1480" i="1"/>
  <c r="A1480" i="1"/>
  <c r="G1479" i="1"/>
  <c r="F1479" i="1"/>
  <c r="E1479" i="1"/>
  <c r="D1479" i="1"/>
  <c r="B1479" i="1"/>
  <c r="A1479" i="1"/>
  <c r="G1478" i="1"/>
  <c r="F1478" i="1"/>
  <c r="E1478" i="1"/>
  <c r="D1478" i="1"/>
  <c r="B1478" i="1"/>
  <c r="A1478" i="1"/>
  <c r="G1477" i="1"/>
  <c r="F1477" i="1"/>
  <c r="E1477" i="1"/>
  <c r="D1477" i="1"/>
  <c r="B1477" i="1"/>
  <c r="A1477" i="1"/>
  <c r="G1476" i="1"/>
  <c r="F1476" i="1"/>
  <c r="E1476" i="1"/>
  <c r="D1476" i="1"/>
  <c r="B1476" i="1"/>
  <c r="A1476" i="1"/>
  <c r="G1475" i="1"/>
  <c r="F1475" i="1"/>
  <c r="E1475" i="1"/>
  <c r="D1475" i="1"/>
  <c r="B1475" i="1"/>
  <c r="A1475" i="1"/>
  <c r="G1474" i="1"/>
  <c r="F1474" i="1"/>
  <c r="E1474" i="1"/>
  <c r="D1474" i="1"/>
  <c r="B1474" i="1"/>
  <c r="A1474" i="1"/>
  <c r="G1473" i="1"/>
  <c r="F1473" i="1"/>
  <c r="E1473" i="1"/>
  <c r="D1473" i="1"/>
  <c r="B1473" i="1"/>
  <c r="A1473" i="1"/>
  <c r="G1472" i="1"/>
  <c r="F1472" i="1"/>
  <c r="E1472" i="1"/>
  <c r="D1472" i="1"/>
  <c r="B1472" i="1"/>
  <c r="A1472" i="1"/>
  <c r="G1471" i="1"/>
  <c r="F1471" i="1"/>
  <c r="E1471" i="1"/>
  <c r="D1471" i="1"/>
  <c r="B1471" i="1"/>
  <c r="A1471" i="1"/>
  <c r="G1470" i="1"/>
  <c r="F1470" i="1"/>
  <c r="E1470" i="1"/>
  <c r="D1470" i="1"/>
  <c r="B1470" i="1"/>
  <c r="A1470" i="1"/>
  <c r="G1469" i="1"/>
  <c r="F1469" i="1"/>
  <c r="E1469" i="1"/>
  <c r="D1469" i="1"/>
  <c r="B1469" i="1"/>
  <c r="A1469" i="1"/>
  <c r="G1468" i="1"/>
  <c r="F1468" i="1"/>
  <c r="E1468" i="1"/>
  <c r="D1468" i="1"/>
  <c r="B1468" i="1"/>
  <c r="A1468" i="1"/>
  <c r="G1467" i="1"/>
  <c r="F1467" i="1"/>
  <c r="E1467" i="1"/>
  <c r="D1467" i="1"/>
  <c r="B1467" i="1"/>
  <c r="A1467" i="1"/>
  <c r="G1466" i="1"/>
  <c r="F1466" i="1"/>
  <c r="E1466" i="1"/>
  <c r="D1466" i="1"/>
  <c r="B1466" i="1"/>
  <c r="A1466" i="1"/>
  <c r="G1465" i="1"/>
  <c r="F1465" i="1"/>
  <c r="E1465" i="1"/>
  <c r="D1465" i="1"/>
  <c r="B1465" i="1"/>
  <c r="A1465" i="1"/>
  <c r="G1464" i="1"/>
  <c r="F1464" i="1"/>
  <c r="E1464" i="1"/>
  <c r="D1464" i="1"/>
  <c r="B1464" i="1"/>
  <c r="A1464" i="1"/>
  <c r="G1463" i="1"/>
  <c r="F1463" i="1"/>
  <c r="E1463" i="1"/>
  <c r="D1463" i="1"/>
  <c r="B1463" i="1"/>
  <c r="A1463" i="1"/>
  <c r="G1462" i="1"/>
  <c r="F1462" i="1"/>
  <c r="E1462" i="1"/>
  <c r="D1462" i="1"/>
  <c r="B1462" i="1"/>
  <c r="A1462" i="1"/>
  <c r="G1461" i="1"/>
  <c r="F1461" i="1"/>
  <c r="E1461" i="1"/>
  <c r="D1461" i="1"/>
  <c r="B1461" i="1"/>
  <c r="A1461" i="1"/>
  <c r="G1460" i="1"/>
  <c r="F1460" i="1"/>
  <c r="E1460" i="1"/>
  <c r="D1460" i="1"/>
  <c r="B1460" i="1"/>
  <c r="A1460" i="1"/>
  <c r="G1459" i="1"/>
  <c r="F1459" i="1"/>
  <c r="E1459" i="1"/>
  <c r="D1459" i="1"/>
  <c r="B1459" i="1"/>
  <c r="A1459" i="1"/>
  <c r="G1458" i="1"/>
  <c r="F1458" i="1"/>
  <c r="E1458" i="1"/>
  <c r="D1458" i="1"/>
  <c r="B1458" i="1"/>
  <c r="A1458" i="1"/>
  <c r="G1457" i="1"/>
  <c r="F1457" i="1"/>
  <c r="E1457" i="1"/>
  <c r="D1457" i="1"/>
  <c r="B1457" i="1"/>
  <c r="A1457" i="1"/>
  <c r="G1456" i="1"/>
  <c r="F1456" i="1"/>
  <c r="E1456" i="1"/>
  <c r="D1456" i="1"/>
  <c r="B1456" i="1"/>
  <c r="A1456" i="1"/>
  <c r="G1455" i="1"/>
  <c r="F1455" i="1"/>
  <c r="E1455" i="1"/>
  <c r="D1455" i="1"/>
  <c r="B1455" i="1"/>
  <c r="A1455" i="1"/>
  <c r="G1454" i="1"/>
  <c r="F1454" i="1"/>
  <c r="E1454" i="1"/>
  <c r="D1454" i="1"/>
  <c r="B1454" i="1"/>
  <c r="A1454" i="1"/>
  <c r="G1453" i="1"/>
  <c r="F1453" i="1"/>
  <c r="E1453" i="1"/>
  <c r="D1453" i="1"/>
  <c r="B1453" i="1"/>
  <c r="A1453" i="1"/>
  <c r="G1452" i="1"/>
  <c r="F1452" i="1"/>
  <c r="E1452" i="1"/>
  <c r="D1452" i="1"/>
  <c r="B1452" i="1"/>
  <c r="A1452" i="1"/>
  <c r="G1451" i="1"/>
  <c r="F1451" i="1"/>
  <c r="E1451" i="1"/>
  <c r="D1451" i="1"/>
  <c r="B1451" i="1"/>
  <c r="A1451" i="1"/>
  <c r="G1450" i="1"/>
  <c r="F1450" i="1"/>
  <c r="E1450" i="1"/>
  <c r="D1450" i="1"/>
  <c r="B1450" i="1"/>
  <c r="A1450" i="1"/>
  <c r="G1449" i="1"/>
  <c r="F1449" i="1"/>
  <c r="E1449" i="1"/>
  <c r="D1449" i="1"/>
  <c r="B1449" i="1"/>
  <c r="A1449" i="1"/>
  <c r="G1448" i="1"/>
  <c r="F1448" i="1"/>
  <c r="E1448" i="1"/>
  <c r="D1448" i="1"/>
  <c r="B1448" i="1"/>
  <c r="A1448" i="1"/>
  <c r="G1447" i="1"/>
  <c r="F1447" i="1"/>
  <c r="E1447" i="1"/>
  <c r="D1447" i="1"/>
  <c r="B1447" i="1"/>
  <c r="A1447" i="1"/>
  <c r="G1446" i="1"/>
  <c r="F1446" i="1"/>
  <c r="E1446" i="1"/>
  <c r="D1446" i="1"/>
  <c r="B1446" i="1"/>
  <c r="A1446" i="1"/>
  <c r="G1445" i="1"/>
  <c r="F1445" i="1"/>
  <c r="E1445" i="1"/>
  <c r="D1445" i="1"/>
  <c r="B1445" i="1"/>
  <c r="A1445" i="1"/>
  <c r="G1444" i="1"/>
  <c r="F1444" i="1"/>
  <c r="E1444" i="1"/>
  <c r="D1444" i="1"/>
  <c r="B1444" i="1"/>
  <c r="A1444" i="1"/>
  <c r="G1443" i="1"/>
  <c r="F1443" i="1"/>
  <c r="E1443" i="1"/>
  <c r="D1443" i="1"/>
  <c r="B1443" i="1"/>
  <c r="A1443" i="1"/>
  <c r="G1442" i="1"/>
  <c r="F1442" i="1"/>
  <c r="E1442" i="1"/>
  <c r="D1442" i="1"/>
  <c r="B1442" i="1"/>
  <c r="A1442" i="1"/>
  <c r="G1441" i="1"/>
  <c r="F1441" i="1"/>
  <c r="E1441" i="1"/>
  <c r="D1441" i="1"/>
  <c r="B1441" i="1"/>
  <c r="A1441" i="1"/>
  <c r="G1440" i="1"/>
  <c r="F1440" i="1"/>
  <c r="E1440" i="1"/>
  <c r="D1440" i="1"/>
  <c r="B1440" i="1"/>
  <c r="A1440" i="1"/>
  <c r="G1439" i="1"/>
  <c r="F1439" i="1"/>
  <c r="E1439" i="1"/>
  <c r="D1439" i="1"/>
  <c r="B1439" i="1"/>
  <c r="A1439" i="1"/>
  <c r="G1438" i="1"/>
  <c r="F1438" i="1"/>
  <c r="E1438" i="1"/>
  <c r="D1438" i="1"/>
  <c r="B1438" i="1"/>
  <c r="A1438" i="1"/>
  <c r="G1437" i="1"/>
  <c r="F1437" i="1"/>
  <c r="E1437" i="1"/>
  <c r="D1437" i="1"/>
  <c r="B1437" i="1"/>
  <c r="A1437" i="1"/>
  <c r="G1436" i="1"/>
  <c r="F1436" i="1"/>
  <c r="E1436" i="1"/>
  <c r="D1436" i="1"/>
  <c r="B1436" i="1"/>
  <c r="A1436" i="1"/>
  <c r="G1435" i="1"/>
  <c r="F1435" i="1"/>
  <c r="E1435" i="1"/>
  <c r="D1435" i="1"/>
  <c r="B1435" i="1"/>
  <c r="A1435" i="1"/>
  <c r="G1434" i="1"/>
  <c r="F1434" i="1"/>
  <c r="E1434" i="1"/>
  <c r="D1434" i="1"/>
  <c r="B1434" i="1"/>
  <c r="A1434" i="1"/>
  <c r="G1433" i="1"/>
  <c r="F1433" i="1"/>
  <c r="E1433" i="1"/>
  <c r="D1433" i="1"/>
  <c r="B1433" i="1"/>
  <c r="A1433" i="1"/>
  <c r="G1432" i="1"/>
  <c r="F1432" i="1"/>
  <c r="E1432" i="1"/>
  <c r="D1432" i="1"/>
  <c r="B1432" i="1"/>
  <c r="A1432" i="1"/>
  <c r="G1431" i="1"/>
  <c r="F1431" i="1"/>
  <c r="E1431" i="1"/>
  <c r="D1431" i="1"/>
  <c r="B1431" i="1"/>
  <c r="A1431" i="1"/>
  <c r="G1430" i="1"/>
  <c r="F1430" i="1"/>
  <c r="E1430" i="1"/>
  <c r="D1430" i="1"/>
  <c r="B1430" i="1"/>
  <c r="A1430" i="1"/>
  <c r="G1429" i="1"/>
  <c r="F1429" i="1"/>
  <c r="E1429" i="1"/>
  <c r="D1429" i="1"/>
  <c r="B1429" i="1"/>
  <c r="A1429" i="1"/>
  <c r="G1428" i="1"/>
  <c r="F1428" i="1"/>
  <c r="E1428" i="1"/>
  <c r="D1428" i="1"/>
  <c r="B1428" i="1"/>
  <c r="A1428" i="1"/>
  <c r="G1427" i="1"/>
  <c r="F1427" i="1"/>
  <c r="E1427" i="1"/>
  <c r="D1427" i="1"/>
  <c r="B1427" i="1"/>
  <c r="A1427" i="1"/>
  <c r="G1426" i="1"/>
  <c r="F1426" i="1"/>
  <c r="E1426" i="1"/>
  <c r="D1426" i="1"/>
  <c r="B1426" i="1"/>
  <c r="A1426" i="1"/>
  <c r="G1425" i="1"/>
  <c r="F1425" i="1"/>
  <c r="E1425" i="1"/>
  <c r="D1425" i="1"/>
  <c r="B1425" i="1"/>
  <c r="A1425" i="1"/>
  <c r="G1424" i="1"/>
  <c r="F1424" i="1"/>
  <c r="E1424" i="1"/>
  <c r="D1424" i="1"/>
  <c r="B1424" i="1"/>
  <c r="A1424" i="1"/>
  <c r="G1423" i="1"/>
  <c r="F1423" i="1"/>
  <c r="E1423" i="1"/>
  <c r="D1423" i="1"/>
  <c r="B1423" i="1"/>
  <c r="A1423" i="1"/>
  <c r="G1422" i="1"/>
  <c r="F1422" i="1"/>
  <c r="E1422" i="1"/>
  <c r="D1422" i="1"/>
  <c r="B1422" i="1"/>
  <c r="A1422" i="1"/>
  <c r="G1421" i="1"/>
  <c r="F1421" i="1"/>
  <c r="E1421" i="1"/>
  <c r="D1421" i="1"/>
  <c r="B1421" i="1"/>
  <c r="A1421" i="1"/>
  <c r="G1420" i="1"/>
  <c r="F1420" i="1"/>
  <c r="E1420" i="1"/>
  <c r="D1420" i="1"/>
  <c r="B1420" i="1"/>
  <c r="A1420" i="1"/>
  <c r="G1419" i="1"/>
  <c r="F1419" i="1"/>
  <c r="E1419" i="1"/>
  <c r="D1419" i="1"/>
  <c r="B1419" i="1"/>
  <c r="A1419" i="1"/>
  <c r="G1418" i="1"/>
  <c r="F1418" i="1"/>
  <c r="E1418" i="1"/>
  <c r="D1418" i="1"/>
  <c r="B1418" i="1"/>
  <c r="A1418" i="1"/>
  <c r="G1417" i="1"/>
  <c r="F1417" i="1"/>
  <c r="E1417" i="1"/>
  <c r="D1417" i="1"/>
  <c r="B1417" i="1"/>
  <c r="A1417" i="1"/>
  <c r="G1416" i="1"/>
  <c r="F1416" i="1"/>
  <c r="E1416" i="1"/>
  <c r="D1416" i="1"/>
  <c r="B1416" i="1"/>
  <c r="A1416" i="1"/>
  <c r="G1415" i="1"/>
  <c r="F1415" i="1"/>
  <c r="E1415" i="1"/>
  <c r="D1415" i="1"/>
  <c r="B1415" i="1"/>
  <c r="A1415" i="1"/>
  <c r="G1414" i="1"/>
  <c r="F1414" i="1"/>
  <c r="E1414" i="1"/>
  <c r="D1414" i="1"/>
  <c r="B1414" i="1"/>
  <c r="A1414" i="1"/>
  <c r="G1413" i="1"/>
  <c r="F1413" i="1"/>
  <c r="E1413" i="1"/>
  <c r="D1413" i="1"/>
  <c r="B1413" i="1"/>
  <c r="A1413" i="1"/>
  <c r="G1412" i="1"/>
  <c r="F1412" i="1"/>
  <c r="E1412" i="1"/>
  <c r="D1412" i="1"/>
  <c r="B1412" i="1"/>
  <c r="A1412" i="1"/>
  <c r="G1411" i="1"/>
  <c r="F1411" i="1"/>
  <c r="E1411" i="1"/>
  <c r="D1411" i="1"/>
  <c r="B1411" i="1"/>
  <c r="A1411" i="1"/>
  <c r="G1410" i="1"/>
  <c r="F1410" i="1"/>
  <c r="E1410" i="1"/>
  <c r="D1410" i="1"/>
  <c r="B1410" i="1"/>
  <c r="A1410" i="1"/>
  <c r="G1409" i="1"/>
  <c r="F1409" i="1"/>
  <c r="E1409" i="1"/>
  <c r="D1409" i="1"/>
  <c r="B1409" i="1"/>
  <c r="A1409" i="1"/>
  <c r="G1408" i="1"/>
  <c r="F1408" i="1"/>
  <c r="E1408" i="1"/>
  <c r="D1408" i="1"/>
  <c r="B1408" i="1"/>
  <c r="A1408" i="1"/>
  <c r="G1407" i="1"/>
  <c r="F1407" i="1"/>
  <c r="E1407" i="1"/>
  <c r="D1407" i="1"/>
  <c r="B1407" i="1"/>
  <c r="A1407" i="1"/>
  <c r="G1406" i="1"/>
  <c r="F1406" i="1"/>
  <c r="E1406" i="1"/>
  <c r="D1406" i="1"/>
  <c r="B1406" i="1"/>
  <c r="A1406" i="1"/>
  <c r="G1405" i="1"/>
  <c r="F1405" i="1"/>
  <c r="E1405" i="1"/>
  <c r="D1405" i="1"/>
  <c r="B1405" i="1"/>
  <c r="A1405" i="1"/>
  <c r="G1404" i="1"/>
  <c r="F1404" i="1"/>
  <c r="E1404" i="1"/>
  <c r="D1404" i="1"/>
  <c r="B1404" i="1"/>
  <c r="A1404" i="1"/>
  <c r="G1403" i="1"/>
  <c r="F1403" i="1"/>
  <c r="E1403" i="1"/>
  <c r="D1403" i="1"/>
  <c r="B1403" i="1"/>
  <c r="A1403" i="1"/>
  <c r="G1402" i="1"/>
  <c r="F1402" i="1"/>
  <c r="E1402" i="1"/>
  <c r="D1402" i="1"/>
  <c r="B1402" i="1"/>
  <c r="A1402" i="1"/>
  <c r="G1401" i="1"/>
  <c r="F1401" i="1"/>
  <c r="E1401" i="1"/>
  <c r="D1401" i="1"/>
  <c r="B1401" i="1"/>
  <c r="A1401" i="1"/>
  <c r="G1400" i="1"/>
  <c r="F1400" i="1"/>
  <c r="E1400" i="1"/>
  <c r="D1400" i="1"/>
  <c r="B1400" i="1"/>
  <c r="A1400" i="1"/>
  <c r="G1399" i="1"/>
  <c r="F1399" i="1"/>
  <c r="E1399" i="1"/>
  <c r="D1399" i="1"/>
  <c r="B1399" i="1"/>
  <c r="A1399" i="1"/>
  <c r="G1398" i="1"/>
  <c r="F1398" i="1"/>
  <c r="E1398" i="1"/>
  <c r="D1398" i="1"/>
  <c r="B1398" i="1"/>
  <c r="A1398" i="1"/>
  <c r="G1397" i="1"/>
  <c r="F1397" i="1"/>
  <c r="E1397" i="1"/>
  <c r="D1397" i="1"/>
  <c r="B1397" i="1"/>
  <c r="A1397" i="1"/>
  <c r="G1396" i="1"/>
  <c r="F1396" i="1"/>
  <c r="E1396" i="1"/>
  <c r="D1396" i="1"/>
  <c r="B1396" i="1"/>
  <c r="A1396" i="1"/>
  <c r="G1395" i="1"/>
  <c r="F1395" i="1"/>
  <c r="E1395" i="1"/>
  <c r="D1395" i="1"/>
  <c r="B1395" i="1"/>
  <c r="A1395" i="1"/>
  <c r="G1394" i="1"/>
  <c r="F1394" i="1"/>
  <c r="E1394" i="1"/>
  <c r="D1394" i="1"/>
  <c r="B1394" i="1"/>
  <c r="A1394" i="1"/>
  <c r="G1393" i="1"/>
  <c r="F1393" i="1"/>
  <c r="E1393" i="1"/>
  <c r="D1393" i="1"/>
  <c r="B1393" i="1"/>
  <c r="A1393" i="1"/>
  <c r="G1392" i="1"/>
  <c r="F1392" i="1"/>
  <c r="E1392" i="1"/>
  <c r="D1392" i="1"/>
  <c r="B1392" i="1"/>
  <c r="A1392" i="1"/>
  <c r="G1391" i="1"/>
  <c r="F1391" i="1"/>
  <c r="E1391" i="1"/>
  <c r="D1391" i="1"/>
  <c r="B1391" i="1"/>
  <c r="A1391" i="1"/>
  <c r="G1390" i="1"/>
  <c r="F1390" i="1"/>
  <c r="E1390" i="1"/>
  <c r="D1390" i="1"/>
  <c r="B1390" i="1"/>
  <c r="A1390" i="1"/>
  <c r="G1389" i="1"/>
  <c r="F1389" i="1"/>
  <c r="E1389" i="1"/>
  <c r="D1389" i="1"/>
  <c r="B1389" i="1"/>
  <c r="A1389" i="1"/>
  <c r="G1388" i="1"/>
  <c r="F1388" i="1"/>
  <c r="E1388" i="1"/>
  <c r="D1388" i="1"/>
  <c r="B1388" i="1"/>
  <c r="A1388" i="1"/>
  <c r="G1387" i="1"/>
  <c r="F1387" i="1"/>
  <c r="E1387" i="1"/>
  <c r="D1387" i="1"/>
  <c r="B1387" i="1"/>
  <c r="A1387" i="1"/>
  <c r="G1386" i="1"/>
  <c r="F1386" i="1"/>
  <c r="E1386" i="1"/>
  <c r="D1386" i="1"/>
  <c r="B1386" i="1"/>
  <c r="A1386" i="1"/>
  <c r="G1385" i="1"/>
  <c r="F1385" i="1"/>
  <c r="E1385" i="1"/>
  <c r="D1385" i="1"/>
  <c r="B1385" i="1"/>
  <c r="A1385" i="1"/>
  <c r="G1384" i="1"/>
  <c r="F1384" i="1"/>
  <c r="E1384" i="1"/>
  <c r="D1384" i="1"/>
  <c r="B1384" i="1"/>
  <c r="A1384" i="1"/>
  <c r="G1383" i="1"/>
  <c r="F1383" i="1"/>
  <c r="E1383" i="1"/>
  <c r="D1383" i="1"/>
  <c r="B1383" i="1"/>
  <c r="A1383" i="1"/>
  <c r="G1382" i="1"/>
  <c r="F1382" i="1"/>
  <c r="E1382" i="1"/>
  <c r="D1382" i="1"/>
  <c r="B1382" i="1"/>
  <c r="A1382" i="1"/>
  <c r="G1381" i="1"/>
  <c r="F1381" i="1"/>
  <c r="E1381" i="1"/>
  <c r="D1381" i="1"/>
  <c r="B1381" i="1"/>
  <c r="A1381" i="1"/>
  <c r="G1380" i="1"/>
  <c r="F1380" i="1"/>
  <c r="E1380" i="1"/>
  <c r="D1380" i="1"/>
  <c r="B1380" i="1"/>
  <c r="A1380" i="1"/>
  <c r="G1379" i="1"/>
  <c r="F1379" i="1"/>
  <c r="E1379" i="1"/>
  <c r="D1379" i="1"/>
  <c r="B1379" i="1"/>
  <c r="A1379" i="1"/>
  <c r="G1378" i="1"/>
  <c r="F1378" i="1"/>
  <c r="E1378" i="1"/>
  <c r="D1378" i="1"/>
  <c r="B1378" i="1"/>
  <c r="A1378" i="1"/>
  <c r="G1377" i="1"/>
  <c r="F1377" i="1"/>
  <c r="E1377" i="1"/>
  <c r="D1377" i="1"/>
  <c r="B1377" i="1"/>
  <c r="A1377" i="1"/>
  <c r="G1376" i="1"/>
  <c r="F1376" i="1"/>
  <c r="E1376" i="1"/>
  <c r="D1376" i="1"/>
  <c r="B1376" i="1"/>
  <c r="A1376" i="1"/>
  <c r="G1375" i="1"/>
  <c r="F1375" i="1"/>
  <c r="E1375" i="1"/>
  <c r="D1375" i="1"/>
  <c r="B1375" i="1"/>
  <c r="A1375" i="1"/>
  <c r="G1374" i="1"/>
  <c r="F1374" i="1"/>
  <c r="E1374" i="1"/>
  <c r="D1374" i="1"/>
  <c r="B1374" i="1"/>
  <c r="A1374" i="1"/>
  <c r="G1373" i="1"/>
  <c r="F1373" i="1"/>
  <c r="E1373" i="1"/>
  <c r="D1373" i="1"/>
  <c r="B1373" i="1"/>
  <c r="A1373" i="1"/>
  <c r="G1372" i="1"/>
  <c r="F1372" i="1"/>
  <c r="E1372" i="1"/>
  <c r="D1372" i="1"/>
  <c r="B1372" i="1"/>
  <c r="A1372" i="1"/>
  <c r="G1371" i="1"/>
  <c r="F1371" i="1"/>
  <c r="E1371" i="1"/>
  <c r="D1371" i="1"/>
  <c r="B1371" i="1"/>
  <c r="A1371" i="1"/>
  <c r="G1370" i="1"/>
  <c r="F1370" i="1"/>
  <c r="E1370" i="1"/>
  <c r="D1370" i="1"/>
  <c r="B1370" i="1"/>
  <c r="A1370" i="1"/>
  <c r="G1369" i="1"/>
  <c r="F1369" i="1"/>
  <c r="E1369" i="1"/>
  <c r="D1369" i="1"/>
  <c r="B1369" i="1"/>
  <c r="A1369" i="1"/>
  <c r="G1368" i="1"/>
  <c r="F1368" i="1"/>
  <c r="E1368" i="1"/>
  <c r="D1368" i="1"/>
  <c r="B1368" i="1"/>
  <c r="A1368" i="1"/>
  <c r="G1367" i="1"/>
  <c r="F1367" i="1"/>
  <c r="E1367" i="1"/>
  <c r="D1367" i="1"/>
  <c r="B1367" i="1"/>
  <c r="A1367" i="1"/>
  <c r="G1366" i="1"/>
  <c r="F1366" i="1"/>
  <c r="E1366" i="1"/>
  <c r="D1366" i="1"/>
  <c r="B1366" i="1"/>
  <c r="A1366" i="1"/>
  <c r="G1365" i="1"/>
  <c r="F1365" i="1"/>
  <c r="E1365" i="1"/>
  <c r="D1365" i="1"/>
  <c r="B1365" i="1"/>
  <c r="A1365" i="1"/>
  <c r="G1364" i="1"/>
  <c r="F1364" i="1"/>
  <c r="E1364" i="1"/>
  <c r="D1364" i="1"/>
  <c r="B1364" i="1"/>
  <c r="A1364" i="1"/>
  <c r="G1363" i="1"/>
  <c r="F1363" i="1"/>
  <c r="E1363" i="1"/>
  <c r="D1363" i="1"/>
  <c r="B1363" i="1"/>
  <c r="A1363" i="1"/>
  <c r="G1362" i="1"/>
  <c r="F1362" i="1"/>
  <c r="E1362" i="1"/>
  <c r="D1362" i="1"/>
  <c r="B1362" i="1"/>
  <c r="A1362" i="1"/>
  <c r="G1361" i="1"/>
  <c r="F1361" i="1"/>
  <c r="E1361" i="1"/>
  <c r="D1361" i="1"/>
  <c r="B1361" i="1"/>
  <c r="A1361" i="1"/>
  <c r="G1360" i="1"/>
  <c r="F1360" i="1"/>
  <c r="E1360" i="1"/>
  <c r="D1360" i="1"/>
  <c r="B1360" i="1"/>
  <c r="A1360" i="1"/>
  <c r="G1359" i="1"/>
  <c r="F1359" i="1"/>
  <c r="E1359" i="1"/>
  <c r="D1359" i="1"/>
  <c r="B1359" i="1"/>
  <c r="A1359" i="1"/>
  <c r="G1358" i="1"/>
  <c r="F1358" i="1"/>
  <c r="E1358" i="1"/>
  <c r="D1358" i="1"/>
  <c r="B1358" i="1"/>
  <c r="A1358" i="1"/>
  <c r="G1357" i="1"/>
  <c r="F1357" i="1"/>
  <c r="E1357" i="1"/>
  <c r="D1357" i="1"/>
  <c r="B1357" i="1"/>
  <c r="A1357" i="1"/>
  <c r="G1356" i="1"/>
  <c r="F1356" i="1"/>
  <c r="E1356" i="1"/>
  <c r="D1356" i="1"/>
  <c r="B1356" i="1"/>
  <c r="A1356" i="1"/>
  <c r="G1355" i="1"/>
  <c r="F1355" i="1"/>
  <c r="E1355" i="1"/>
  <c r="D1355" i="1"/>
  <c r="B1355" i="1"/>
  <c r="A1355" i="1"/>
  <c r="G1354" i="1"/>
  <c r="F1354" i="1"/>
  <c r="E1354" i="1"/>
  <c r="D1354" i="1"/>
  <c r="B1354" i="1"/>
  <c r="A1354" i="1"/>
  <c r="G1353" i="1"/>
  <c r="F1353" i="1"/>
  <c r="E1353" i="1"/>
  <c r="D1353" i="1"/>
  <c r="B1353" i="1"/>
  <c r="A1353" i="1"/>
  <c r="G1352" i="1"/>
  <c r="F1352" i="1"/>
  <c r="E1352" i="1"/>
  <c r="D1352" i="1"/>
  <c r="B1352" i="1"/>
  <c r="A1352" i="1"/>
  <c r="G1351" i="1"/>
  <c r="F1351" i="1"/>
  <c r="E1351" i="1"/>
  <c r="D1351" i="1"/>
  <c r="B1351" i="1"/>
  <c r="A1351" i="1"/>
  <c r="G1350" i="1"/>
  <c r="F1350" i="1"/>
  <c r="E1350" i="1"/>
  <c r="D1350" i="1"/>
  <c r="B1350" i="1"/>
  <c r="A1350" i="1"/>
  <c r="G1349" i="1"/>
  <c r="F1349" i="1"/>
  <c r="E1349" i="1"/>
  <c r="D1349" i="1"/>
  <c r="B1349" i="1"/>
  <c r="A1349" i="1"/>
  <c r="G1348" i="1"/>
  <c r="F1348" i="1"/>
  <c r="E1348" i="1"/>
  <c r="D1348" i="1"/>
  <c r="B1348" i="1"/>
  <c r="A1348" i="1"/>
  <c r="G1347" i="1"/>
  <c r="F1347" i="1"/>
  <c r="E1347" i="1"/>
  <c r="D1347" i="1"/>
  <c r="B1347" i="1"/>
  <c r="A1347" i="1"/>
  <c r="G1346" i="1"/>
  <c r="F1346" i="1"/>
  <c r="E1346" i="1"/>
  <c r="D1346" i="1"/>
  <c r="B1346" i="1"/>
  <c r="A1346" i="1"/>
  <c r="G1345" i="1"/>
  <c r="F1345" i="1"/>
  <c r="E1345" i="1"/>
  <c r="D1345" i="1"/>
  <c r="B1345" i="1"/>
  <c r="A1345" i="1"/>
  <c r="G1344" i="1"/>
  <c r="F1344" i="1"/>
  <c r="E1344" i="1"/>
  <c r="D1344" i="1"/>
  <c r="B1344" i="1"/>
  <c r="A1344" i="1"/>
  <c r="G1343" i="1"/>
  <c r="F1343" i="1"/>
  <c r="E1343" i="1"/>
  <c r="D1343" i="1"/>
  <c r="B1343" i="1"/>
  <c r="A1343" i="1"/>
  <c r="G1342" i="1"/>
  <c r="F1342" i="1"/>
  <c r="E1342" i="1"/>
  <c r="D1342" i="1"/>
  <c r="B1342" i="1"/>
  <c r="A1342" i="1"/>
  <c r="G1341" i="1"/>
  <c r="F1341" i="1"/>
  <c r="E1341" i="1"/>
  <c r="D1341" i="1"/>
  <c r="B1341" i="1"/>
  <c r="A1341" i="1"/>
  <c r="G1340" i="1"/>
  <c r="F1340" i="1"/>
  <c r="E1340" i="1"/>
  <c r="D1340" i="1"/>
  <c r="B1340" i="1"/>
  <c r="A1340" i="1"/>
  <c r="G1339" i="1"/>
  <c r="F1339" i="1"/>
  <c r="E1339" i="1"/>
  <c r="D1339" i="1"/>
  <c r="B1339" i="1"/>
  <c r="A1339" i="1"/>
  <c r="G1338" i="1"/>
  <c r="F1338" i="1"/>
  <c r="E1338" i="1"/>
  <c r="D1338" i="1"/>
  <c r="B1338" i="1"/>
  <c r="A1338" i="1"/>
  <c r="G1337" i="1"/>
  <c r="F1337" i="1"/>
  <c r="E1337" i="1"/>
  <c r="D1337" i="1"/>
  <c r="B1337" i="1"/>
  <c r="A1337" i="1"/>
  <c r="G1336" i="1"/>
  <c r="F1336" i="1"/>
  <c r="E1336" i="1"/>
  <c r="D1336" i="1"/>
  <c r="B1336" i="1"/>
  <c r="A1336" i="1"/>
  <c r="G1335" i="1"/>
  <c r="F1335" i="1"/>
  <c r="E1335" i="1"/>
  <c r="D1335" i="1"/>
  <c r="B1335" i="1"/>
  <c r="A1335" i="1"/>
  <c r="G1334" i="1"/>
  <c r="F1334" i="1"/>
  <c r="E1334" i="1"/>
  <c r="D1334" i="1"/>
  <c r="B1334" i="1"/>
  <c r="A1334" i="1"/>
  <c r="G1333" i="1"/>
  <c r="F1333" i="1"/>
  <c r="E1333" i="1"/>
  <c r="D1333" i="1"/>
  <c r="B1333" i="1"/>
  <c r="A1333" i="1"/>
  <c r="G1332" i="1"/>
  <c r="F1332" i="1"/>
  <c r="E1332" i="1"/>
  <c r="D1332" i="1"/>
  <c r="B1332" i="1"/>
  <c r="A1332" i="1"/>
  <c r="G1331" i="1"/>
  <c r="F1331" i="1"/>
  <c r="E1331" i="1"/>
  <c r="D1331" i="1"/>
  <c r="B1331" i="1"/>
  <c r="A1331" i="1"/>
  <c r="G1330" i="1"/>
  <c r="F1330" i="1"/>
  <c r="E1330" i="1"/>
  <c r="D1330" i="1"/>
  <c r="B1330" i="1"/>
  <c r="A1330" i="1"/>
  <c r="G1329" i="1"/>
  <c r="F1329" i="1"/>
  <c r="E1329" i="1"/>
  <c r="D1329" i="1"/>
  <c r="B1329" i="1"/>
  <c r="A1329" i="1"/>
  <c r="G1328" i="1"/>
  <c r="F1328" i="1"/>
  <c r="E1328" i="1"/>
  <c r="D1328" i="1"/>
  <c r="B1328" i="1"/>
  <c r="A1328" i="1"/>
  <c r="G1327" i="1"/>
  <c r="F1327" i="1"/>
  <c r="E1327" i="1"/>
  <c r="D1327" i="1"/>
  <c r="B1327" i="1"/>
  <c r="A1327" i="1"/>
  <c r="G1326" i="1"/>
  <c r="F1326" i="1"/>
  <c r="E1326" i="1"/>
  <c r="D1326" i="1"/>
  <c r="B1326" i="1"/>
  <c r="A1326" i="1"/>
  <c r="G1325" i="1"/>
  <c r="F1325" i="1"/>
  <c r="E1325" i="1"/>
  <c r="D1325" i="1"/>
  <c r="B1325" i="1"/>
  <c r="A1325" i="1"/>
  <c r="G1324" i="1"/>
  <c r="F1324" i="1"/>
  <c r="E1324" i="1"/>
  <c r="D1324" i="1"/>
  <c r="B1324" i="1"/>
  <c r="A1324" i="1"/>
  <c r="G1323" i="1"/>
  <c r="F1323" i="1"/>
  <c r="E1323" i="1"/>
  <c r="D1323" i="1"/>
  <c r="B1323" i="1"/>
  <c r="A1323" i="1"/>
  <c r="G1322" i="1"/>
  <c r="F1322" i="1"/>
  <c r="E1322" i="1"/>
  <c r="D1322" i="1"/>
  <c r="B1322" i="1"/>
  <c r="A1322" i="1"/>
  <c r="G1321" i="1"/>
  <c r="F1321" i="1"/>
  <c r="E1321" i="1"/>
  <c r="D1321" i="1"/>
  <c r="B1321" i="1"/>
  <c r="A1321" i="1"/>
  <c r="G1320" i="1"/>
  <c r="F1320" i="1"/>
  <c r="E1320" i="1"/>
  <c r="D1320" i="1"/>
  <c r="B1320" i="1"/>
  <c r="A1320" i="1"/>
  <c r="G1319" i="1"/>
  <c r="F1319" i="1"/>
  <c r="E1319" i="1"/>
  <c r="D1319" i="1"/>
  <c r="B1319" i="1"/>
  <c r="A1319" i="1"/>
  <c r="G1318" i="1"/>
  <c r="F1318" i="1"/>
  <c r="E1318" i="1"/>
  <c r="D1318" i="1"/>
  <c r="B1318" i="1"/>
  <c r="A1318" i="1"/>
  <c r="G1317" i="1"/>
  <c r="F1317" i="1"/>
  <c r="E1317" i="1"/>
  <c r="D1317" i="1"/>
  <c r="B1317" i="1"/>
  <c r="A1317" i="1"/>
  <c r="G1316" i="1"/>
  <c r="F1316" i="1"/>
  <c r="E1316" i="1"/>
  <c r="D1316" i="1"/>
  <c r="B1316" i="1"/>
  <c r="A1316" i="1"/>
  <c r="G1315" i="1"/>
  <c r="F1315" i="1"/>
  <c r="E1315" i="1"/>
  <c r="D1315" i="1"/>
  <c r="B1315" i="1"/>
  <c r="A1315" i="1"/>
  <c r="G1314" i="1"/>
  <c r="F1314" i="1"/>
  <c r="E1314" i="1"/>
  <c r="D1314" i="1"/>
  <c r="B1314" i="1"/>
  <c r="A1314" i="1"/>
  <c r="G1313" i="1"/>
  <c r="F1313" i="1"/>
  <c r="E1313" i="1"/>
  <c r="D1313" i="1"/>
  <c r="B1313" i="1"/>
  <c r="A1313" i="1"/>
  <c r="G1312" i="1"/>
  <c r="F1312" i="1"/>
  <c r="E1312" i="1"/>
  <c r="D1312" i="1"/>
  <c r="B1312" i="1"/>
  <c r="A1312" i="1"/>
  <c r="G1311" i="1"/>
  <c r="F1311" i="1"/>
  <c r="E1311" i="1"/>
  <c r="D1311" i="1"/>
  <c r="B1311" i="1"/>
  <c r="A1311" i="1"/>
  <c r="G1310" i="1"/>
  <c r="F1310" i="1"/>
  <c r="E1310" i="1"/>
  <c r="D1310" i="1"/>
  <c r="B1310" i="1"/>
  <c r="A1310" i="1"/>
  <c r="G1309" i="1"/>
  <c r="F1309" i="1"/>
  <c r="E1309" i="1"/>
  <c r="D1309" i="1"/>
  <c r="B1309" i="1"/>
  <c r="A1309" i="1"/>
  <c r="G1308" i="1"/>
  <c r="F1308" i="1"/>
  <c r="E1308" i="1"/>
  <c r="D1308" i="1"/>
  <c r="B1308" i="1"/>
  <c r="A1308" i="1"/>
  <c r="G1307" i="1"/>
  <c r="F1307" i="1"/>
  <c r="E1307" i="1"/>
  <c r="D1307" i="1"/>
  <c r="B1307" i="1"/>
  <c r="A1307" i="1"/>
  <c r="G1306" i="1"/>
  <c r="F1306" i="1"/>
  <c r="E1306" i="1"/>
  <c r="D1306" i="1"/>
  <c r="B1306" i="1"/>
  <c r="A1306" i="1"/>
  <c r="G1305" i="1"/>
  <c r="F1305" i="1"/>
  <c r="E1305" i="1"/>
  <c r="D1305" i="1"/>
  <c r="B1305" i="1"/>
  <c r="A1305" i="1"/>
  <c r="G1304" i="1"/>
  <c r="F1304" i="1"/>
  <c r="E1304" i="1"/>
  <c r="D1304" i="1"/>
  <c r="B1304" i="1"/>
  <c r="A1304" i="1"/>
  <c r="G1303" i="1"/>
  <c r="F1303" i="1"/>
  <c r="E1303" i="1"/>
  <c r="D1303" i="1"/>
  <c r="B1303" i="1"/>
  <c r="A1303" i="1"/>
  <c r="G1302" i="1"/>
  <c r="F1302" i="1"/>
  <c r="E1302" i="1"/>
  <c r="D1302" i="1"/>
  <c r="B1302" i="1"/>
  <c r="A1302" i="1"/>
  <c r="G1301" i="1"/>
  <c r="F1301" i="1"/>
  <c r="E1301" i="1"/>
  <c r="D1301" i="1"/>
  <c r="B1301" i="1"/>
  <c r="A1301" i="1"/>
  <c r="G1300" i="1"/>
  <c r="F1300" i="1"/>
  <c r="E1300" i="1"/>
  <c r="D1300" i="1"/>
  <c r="B1300" i="1"/>
  <c r="A1300" i="1"/>
  <c r="G1299" i="1"/>
  <c r="F1299" i="1"/>
  <c r="E1299" i="1"/>
  <c r="D1299" i="1"/>
  <c r="B1299" i="1"/>
  <c r="A1299" i="1"/>
  <c r="G1298" i="1"/>
  <c r="F1298" i="1"/>
  <c r="E1298" i="1"/>
  <c r="D1298" i="1"/>
  <c r="B1298" i="1"/>
  <c r="A1298" i="1"/>
  <c r="G1297" i="1"/>
  <c r="F1297" i="1"/>
  <c r="E1297" i="1"/>
  <c r="D1297" i="1"/>
  <c r="B1297" i="1"/>
  <c r="A1297" i="1"/>
  <c r="G1296" i="1"/>
  <c r="F1296" i="1"/>
  <c r="E1296" i="1"/>
  <c r="D1296" i="1"/>
  <c r="B1296" i="1"/>
  <c r="A1296" i="1"/>
  <c r="G1295" i="1"/>
  <c r="F1295" i="1"/>
  <c r="E1295" i="1"/>
  <c r="D1295" i="1"/>
  <c r="B1295" i="1"/>
  <c r="A1295" i="1"/>
  <c r="G1294" i="1"/>
  <c r="F1294" i="1"/>
  <c r="E1294" i="1"/>
  <c r="D1294" i="1"/>
  <c r="B1294" i="1"/>
  <c r="A1294" i="1"/>
  <c r="G1293" i="1"/>
  <c r="F1293" i="1"/>
  <c r="E1293" i="1"/>
  <c r="D1293" i="1"/>
  <c r="B1293" i="1"/>
  <c r="A1293" i="1"/>
  <c r="G1292" i="1"/>
  <c r="F1292" i="1"/>
  <c r="E1292" i="1"/>
  <c r="D1292" i="1"/>
  <c r="B1292" i="1"/>
  <c r="A1292" i="1"/>
  <c r="G1291" i="1"/>
  <c r="F1291" i="1"/>
  <c r="E1291" i="1"/>
  <c r="D1291" i="1"/>
  <c r="B1291" i="1"/>
  <c r="A1291" i="1"/>
  <c r="G1290" i="1"/>
  <c r="F1290" i="1"/>
  <c r="E1290" i="1"/>
  <c r="D1290" i="1"/>
  <c r="B1290" i="1"/>
  <c r="A1290" i="1"/>
  <c r="G1289" i="1"/>
  <c r="F1289" i="1"/>
  <c r="E1289" i="1"/>
  <c r="D1289" i="1"/>
  <c r="B1289" i="1"/>
  <c r="A1289" i="1"/>
  <c r="G1288" i="1"/>
  <c r="F1288" i="1"/>
  <c r="E1288" i="1"/>
  <c r="D1288" i="1"/>
  <c r="B1288" i="1"/>
  <c r="A1288" i="1"/>
  <c r="G1287" i="1"/>
  <c r="F1287" i="1"/>
  <c r="E1287" i="1"/>
  <c r="D1287" i="1"/>
  <c r="B1287" i="1"/>
  <c r="A1287" i="1"/>
  <c r="G1286" i="1"/>
  <c r="F1286" i="1"/>
  <c r="E1286" i="1"/>
  <c r="D1286" i="1"/>
  <c r="B1286" i="1"/>
  <c r="A1286" i="1"/>
  <c r="G1285" i="1"/>
  <c r="F1285" i="1"/>
  <c r="E1285" i="1"/>
  <c r="D1285" i="1"/>
  <c r="B1285" i="1"/>
  <c r="A1285" i="1"/>
  <c r="G1284" i="1"/>
  <c r="F1284" i="1"/>
  <c r="E1284" i="1"/>
  <c r="D1284" i="1"/>
  <c r="B1284" i="1"/>
  <c r="A1284" i="1"/>
  <c r="G1283" i="1"/>
  <c r="F1283" i="1"/>
  <c r="E1283" i="1"/>
  <c r="D1283" i="1"/>
  <c r="B1283" i="1"/>
  <c r="A1283" i="1"/>
  <c r="G1282" i="1"/>
  <c r="F1282" i="1"/>
  <c r="E1282" i="1"/>
  <c r="D1282" i="1"/>
  <c r="B1282" i="1"/>
  <c r="A1282" i="1"/>
  <c r="G1281" i="1"/>
  <c r="F1281" i="1"/>
  <c r="E1281" i="1"/>
  <c r="D1281" i="1"/>
  <c r="B1281" i="1"/>
  <c r="A1281" i="1"/>
  <c r="G1280" i="1"/>
  <c r="F1280" i="1"/>
  <c r="E1280" i="1"/>
  <c r="D1280" i="1"/>
  <c r="B1280" i="1"/>
  <c r="A1280" i="1"/>
  <c r="G1279" i="1"/>
  <c r="F1279" i="1"/>
  <c r="E1279" i="1"/>
  <c r="D1279" i="1"/>
  <c r="B1279" i="1"/>
  <c r="A1279" i="1"/>
  <c r="G1278" i="1"/>
  <c r="F1278" i="1"/>
  <c r="E1278" i="1"/>
  <c r="D1278" i="1"/>
  <c r="B1278" i="1"/>
  <c r="A1278" i="1"/>
  <c r="G1277" i="1"/>
  <c r="F1277" i="1"/>
  <c r="E1277" i="1"/>
  <c r="D1277" i="1"/>
  <c r="B1277" i="1"/>
  <c r="A1277" i="1"/>
  <c r="G1276" i="1"/>
  <c r="F1276" i="1"/>
  <c r="E1276" i="1"/>
  <c r="D1276" i="1"/>
  <c r="B1276" i="1"/>
  <c r="A1276" i="1"/>
  <c r="G1275" i="1"/>
  <c r="F1275" i="1"/>
  <c r="E1275" i="1"/>
  <c r="D1275" i="1"/>
  <c r="B1275" i="1"/>
  <c r="A1275" i="1"/>
  <c r="G1274" i="1"/>
  <c r="F1274" i="1"/>
  <c r="E1274" i="1"/>
  <c r="D1274" i="1"/>
  <c r="B1274" i="1"/>
  <c r="A1274" i="1"/>
  <c r="G1273" i="1"/>
  <c r="F1273" i="1"/>
  <c r="E1273" i="1"/>
  <c r="D1273" i="1"/>
  <c r="B1273" i="1"/>
  <c r="A1273" i="1"/>
  <c r="G1272" i="1"/>
  <c r="F1272" i="1"/>
  <c r="E1272" i="1"/>
  <c r="D1272" i="1"/>
  <c r="B1272" i="1"/>
  <c r="A1272" i="1"/>
  <c r="G1271" i="1"/>
  <c r="F1271" i="1"/>
  <c r="E1271" i="1"/>
  <c r="D1271" i="1"/>
  <c r="B1271" i="1"/>
  <c r="A1271" i="1"/>
  <c r="G1270" i="1"/>
  <c r="F1270" i="1"/>
  <c r="E1270" i="1"/>
  <c r="D1270" i="1"/>
  <c r="B1270" i="1"/>
  <c r="A1270" i="1"/>
  <c r="G1269" i="1"/>
  <c r="F1269" i="1"/>
  <c r="E1269" i="1"/>
  <c r="D1269" i="1"/>
  <c r="B1269" i="1"/>
  <c r="A1269" i="1"/>
  <c r="G1268" i="1"/>
  <c r="F1268" i="1"/>
  <c r="E1268" i="1"/>
  <c r="D1268" i="1"/>
  <c r="B1268" i="1"/>
  <c r="A1268" i="1"/>
  <c r="G1267" i="1"/>
  <c r="F1267" i="1"/>
  <c r="E1267" i="1"/>
  <c r="D1267" i="1"/>
  <c r="B1267" i="1"/>
  <c r="A1267" i="1"/>
  <c r="G1266" i="1"/>
  <c r="F1266" i="1"/>
  <c r="E1266" i="1"/>
  <c r="D1266" i="1"/>
  <c r="B1266" i="1"/>
  <c r="A1266" i="1"/>
  <c r="G1265" i="1"/>
  <c r="F1265" i="1"/>
  <c r="E1265" i="1"/>
  <c r="D1265" i="1"/>
  <c r="B1265" i="1"/>
  <c r="A1265" i="1"/>
  <c r="G1264" i="1"/>
  <c r="F1264" i="1"/>
  <c r="E1264" i="1"/>
  <c r="D1264" i="1"/>
  <c r="B1264" i="1"/>
  <c r="A1264" i="1"/>
  <c r="G1263" i="1"/>
  <c r="F1263" i="1"/>
  <c r="E1263" i="1"/>
  <c r="D1263" i="1"/>
  <c r="B1263" i="1"/>
  <c r="A1263" i="1"/>
  <c r="G1262" i="1"/>
  <c r="F1262" i="1"/>
  <c r="E1262" i="1"/>
  <c r="D1262" i="1"/>
  <c r="B1262" i="1"/>
  <c r="A1262" i="1"/>
  <c r="G1261" i="1"/>
  <c r="F1261" i="1"/>
  <c r="E1261" i="1"/>
  <c r="D1261" i="1"/>
  <c r="B1261" i="1"/>
  <c r="A1261" i="1"/>
  <c r="G1260" i="1"/>
  <c r="F1260" i="1"/>
  <c r="E1260" i="1"/>
  <c r="D1260" i="1"/>
  <c r="B1260" i="1"/>
  <c r="A1260" i="1"/>
  <c r="G1259" i="1"/>
  <c r="F1259" i="1"/>
  <c r="E1259" i="1"/>
  <c r="D1259" i="1"/>
  <c r="B1259" i="1"/>
  <c r="A1259" i="1"/>
  <c r="G1258" i="1"/>
  <c r="F1258" i="1"/>
  <c r="E1258" i="1"/>
  <c r="D1258" i="1"/>
  <c r="B1258" i="1"/>
  <c r="A1258" i="1"/>
  <c r="G1257" i="1"/>
  <c r="F1257" i="1"/>
  <c r="E1257" i="1"/>
  <c r="D1257" i="1"/>
  <c r="B1257" i="1"/>
  <c r="A1257" i="1"/>
  <c r="G1256" i="1"/>
  <c r="F1256" i="1"/>
  <c r="E1256" i="1"/>
  <c r="D1256" i="1"/>
  <c r="B1256" i="1"/>
  <c r="A1256" i="1"/>
  <c r="G1255" i="1"/>
  <c r="F1255" i="1"/>
  <c r="E1255" i="1"/>
  <c r="D1255" i="1"/>
  <c r="B1255" i="1"/>
  <c r="A1255" i="1"/>
  <c r="G1254" i="1"/>
  <c r="F1254" i="1"/>
  <c r="E1254" i="1"/>
  <c r="D1254" i="1"/>
  <c r="B1254" i="1"/>
  <c r="A1254" i="1"/>
  <c r="G1253" i="1"/>
  <c r="F1253" i="1"/>
  <c r="E1253" i="1"/>
  <c r="D1253" i="1"/>
  <c r="B1253" i="1"/>
  <c r="A1253" i="1"/>
  <c r="G1252" i="1"/>
  <c r="F1252" i="1"/>
  <c r="E1252" i="1"/>
  <c r="D1252" i="1"/>
  <c r="B1252" i="1"/>
  <c r="A1252" i="1"/>
  <c r="G1251" i="1"/>
  <c r="F1251" i="1"/>
  <c r="E1251" i="1"/>
  <c r="D1251" i="1"/>
  <c r="B1251" i="1"/>
  <c r="A1251" i="1"/>
  <c r="G1250" i="1"/>
  <c r="F1250" i="1"/>
  <c r="E1250" i="1"/>
  <c r="D1250" i="1"/>
  <c r="B1250" i="1"/>
  <c r="A1250" i="1"/>
  <c r="G1249" i="1"/>
  <c r="F1249" i="1"/>
  <c r="E1249" i="1"/>
  <c r="D1249" i="1"/>
  <c r="B1249" i="1"/>
  <c r="A1249" i="1"/>
  <c r="G1248" i="1"/>
  <c r="F1248" i="1"/>
  <c r="E1248" i="1"/>
  <c r="D1248" i="1"/>
  <c r="B1248" i="1"/>
  <c r="A1248" i="1"/>
  <c r="G1247" i="1"/>
  <c r="F1247" i="1"/>
  <c r="E1247" i="1"/>
  <c r="D1247" i="1"/>
  <c r="B1247" i="1"/>
  <c r="A1247" i="1"/>
  <c r="G1246" i="1"/>
  <c r="F1246" i="1"/>
  <c r="E1246" i="1"/>
  <c r="D1246" i="1"/>
  <c r="B1246" i="1"/>
  <c r="A1246" i="1"/>
  <c r="G1245" i="1"/>
  <c r="F1245" i="1"/>
  <c r="E1245" i="1"/>
  <c r="D1245" i="1"/>
  <c r="B1245" i="1"/>
  <c r="A1245" i="1"/>
  <c r="G1244" i="1"/>
  <c r="F1244" i="1"/>
  <c r="E1244" i="1"/>
  <c r="D1244" i="1"/>
  <c r="B1244" i="1"/>
  <c r="A1244" i="1"/>
  <c r="G1243" i="1"/>
  <c r="F1243" i="1"/>
  <c r="E1243" i="1"/>
  <c r="D1243" i="1"/>
  <c r="B1243" i="1"/>
  <c r="A1243" i="1"/>
  <c r="G1242" i="1"/>
  <c r="F1242" i="1"/>
  <c r="E1242" i="1"/>
  <c r="D1242" i="1"/>
  <c r="B1242" i="1"/>
  <c r="A1242" i="1"/>
  <c r="G1241" i="1"/>
  <c r="F1241" i="1"/>
  <c r="E1241" i="1"/>
  <c r="D1241" i="1"/>
  <c r="B1241" i="1"/>
  <c r="A1241" i="1"/>
  <c r="G1240" i="1"/>
  <c r="F1240" i="1"/>
  <c r="E1240" i="1"/>
  <c r="D1240" i="1"/>
  <c r="B1240" i="1"/>
  <c r="A1240" i="1"/>
  <c r="G1239" i="1"/>
  <c r="F1239" i="1"/>
  <c r="E1239" i="1"/>
  <c r="D1239" i="1"/>
  <c r="B1239" i="1"/>
  <c r="A1239" i="1"/>
  <c r="G1238" i="1"/>
  <c r="F1238" i="1"/>
  <c r="E1238" i="1"/>
  <c r="D1238" i="1"/>
  <c r="B1238" i="1"/>
  <c r="A1238" i="1"/>
  <c r="G1237" i="1"/>
  <c r="F1237" i="1"/>
  <c r="E1237" i="1"/>
  <c r="D1237" i="1"/>
  <c r="B1237" i="1"/>
  <c r="A1237" i="1"/>
  <c r="G1236" i="1"/>
  <c r="F1236" i="1"/>
  <c r="E1236" i="1"/>
  <c r="D1236" i="1"/>
  <c r="B1236" i="1"/>
  <c r="A1236" i="1"/>
  <c r="G1235" i="1"/>
  <c r="F1235" i="1"/>
  <c r="E1235" i="1"/>
  <c r="D1235" i="1"/>
  <c r="B1235" i="1"/>
  <c r="A1235" i="1"/>
  <c r="G1234" i="1"/>
  <c r="F1234" i="1"/>
  <c r="E1234" i="1"/>
  <c r="D1234" i="1"/>
  <c r="B1234" i="1"/>
  <c r="A1234" i="1"/>
  <c r="G1233" i="1"/>
  <c r="F1233" i="1"/>
  <c r="E1233" i="1"/>
  <c r="D1233" i="1"/>
  <c r="B1233" i="1"/>
  <c r="A1233" i="1"/>
  <c r="G1232" i="1"/>
  <c r="F1232" i="1"/>
  <c r="E1232" i="1"/>
  <c r="D1232" i="1"/>
  <c r="B1232" i="1"/>
  <c r="A1232" i="1"/>
  <c r="G1231" i="1"/>
  <c r="F1231" i="1"/>
  <c r="E1231" i="1"/>
  <c r="D1231" i="1"/>
  <c r="B1231" i="1"/>
  <c r="A1231" i="1"/>
  <c r="G1230" i="1"/>
  <c r="F1230" i="1"/>
  <c r="E1230" i="1"/>
  <c r="D1230" i="1"/>
  <c r="B1230" i="1"/>
  <c r="A1230" i="1"/>
  <c r="G1229" i="1"/>
  <c r="F1229" i="1"/>
  <c r="E1229" i="1"/>
  <c r="D1229" i="1"/>
  <c r="B1229" i="1"/>
  <c r="A1229" i="1"/>
  <c r="G1228" i="1"/>
  <c r="F1228" i="1"/>
  <c r="E1228" i="1"/>
  <c r="D1228" i="1"/>
  <c r="B1228" i="1"/>
  <c r="A1228" i="1"/>
  <c r="G1227" i="1"/>
  <c r="F1227" i="1"/>
  <c r="E1227" i="1"/>
  <c r="D1227" i="1"/>
  <c r="B1227" i="1"/>
  <c r="A1227" i="1"/>
  <c r="G1226" i="1"/>
  <c r="F1226" i="1"/>
  <c r="E1226" i="1"/>
  <c r="D1226" i="1"/>
  <c r="B1226" i="1"/>
  <c r="A1226" i="1"/>
  <c r="G1225" i="1"/>
  <c r="F1225" i="1"/>
  <c r="E1225" i="1"/>
  <c r="D1225" i="1"/>
  <c r="B1225" i="1"/>
  <c r="A1225" i="1"/>
  <c r="G1224" i="1"/>
  <c r="F1224" i="1"/>
  <c r="E1224" i="1"/>
  <c r="D1224" i="1"/>
  <c r="B1224" i="1"/>
  <c r="A1224" i="1"/>
  <c r="G1223" i="1"/>
  <c r="F1223" i="1"/>
  <c r="E1223" i="1"/>
  <c r="D1223" i="1"/>
  <c r="B1223" i="1"/>
  <c r="A1223" i="1"/>
  <c r="G1222" i="1"/>
  <c r="F1222" i="1"/>
  <c r="E1222" i="1"/>
  <c r="D1222" i="1"/>
  <c r="B1222" i="1"/>
  <c r="A1222" i="1"/>
  <c r="G1221" i="1"/>
  <c r="F1221" i="1"/>
  <c r="E1221" i="1"/>
  <c r="D1221" i="1"/>
  <c r="B1221" i="1"/>
  <c r="A1221" i="1"/>
  <c r="G1220" i="1"/>
  <c r="F1220" i="1"/>
  <c r="E1220" i="1"/>
  <c r="D1220" i="1"/>
  <c r="B1220" i="1"/>
  <c r="A1220" i="1"/>
  <c r="G1219" i="1"/>
  <c r="F1219" i="1"/>
  <c r="E1219" i="1"/>
  <c r="D1219" i="1"/>
  <c r="B1219" i="1"/>
  <c r="A1219" i="1"/>
  <c r="G1218" i="1"/>
  <c r="F1218" i="1"/>
  <c r="E1218" i="1"/>
  <c r="D1218" i="1"/>
  <c r="B1218" i="1"/>
  <c r="A1218" i="1"/>
  <c r="G1217" i="1"/>
  <c r="F1217" i="1"/>
  <c r="E1217" i="1"/>
  <c r="D1217" i="1"/>
  <c r="B1217" i="1"/>
  <c r="A1217" i="1"/>
  <c r="G1216" i="1"/>
  <c r="F1216" i="1"/>
  <c r="E1216" i="1"/>
  <c r="D1216" i="1"/>
  <c r="B1216" i="1"/>
  <c r="A1216" i="1"/>
  <c r="G1215" i="1"/>
  <c r="F1215" i="1"/>
  <c r="E1215" i="1"/>
  <c r="D1215" i="1"/>
  <c r="B1215" i="1"/>
  <c r="A1215" i="1"/>
  <c r="G1214" i="1"/>
  <c r="F1214" i="1"/>
  <c r="E1214" i="1"/>
  <c r="D1214" i="1"/>
  <c r="B1214" i="1"/>
  <c r="A1214" i="1"/>
  <c r="G1213" i="1"/>
  <c r="F1213" i="1"/>
  <c r="E1213" i="1"/>
  <c r="D1213" i="1"/>
  <c r="B1213" i="1"/>
  <c r="A1213" i="1"/>
  <c r="G1212" i="1"/>
  <c r="F1212" i="1"/>
  <c r="E1212" i="1"/>
  <c r="D1212" i="1"/>
  <c r="B1212" i="1"/>
  <c r="A1212" i="1"/>
  <c r="G1211" i="1"/>
  <c r="F1211" i="1"/>
  <c r="E1211" i="1"/>
  <c r="D1211" i="1"/>
  <c r="B1211" i="1"/>
  <c r="A1211" i="1"/>
  <c r="G1210" i="1"/>
  <c r="F1210" i="1"/>
  <c r="E1210" i="1"/>
  <c r="D1210" i="1"/>
  <c r="B1210" i="1"/>
  <c r="A1210" i="1"/>
  <c r="G1209" i="1"/>
  <c r="F1209" i="1"/>
  <c r="E1209" i="1"/>
  <c r="D1209" i="1"/>
  <c r="B1209" i="1"/>
  <c r="A1209" i="1"/>
  <c r="G1208" i="1"/>
  <c r="F1208" i="1"/>
  <c r="E1208" i="1"/>
  <c r="D1208" i="1"/>
  <c r="B1208" i="1"/>
  <c r="A1208" i="1"/>
  <c r="G1207" i="1"/>
  <c r="F1207" i="1"/>
  <c r="E1207" i="1"/>
  <c r="D1207" i="1"/>
  <c r="B1207" i="1"/>
  <c r="A1207" i="1"/>
  <c r="G1206" i="1"/>
  <c r="F1206" i="1"/>
  <c r="E1206" i="1"/>
  <c r="D1206" i="1"/>
  <c r="B1206" i="1"/>
  <c r="A1206" i="1"/>
  <c r="G1205" i="1"/>
  <c r="F1205" i="1"/>
  <c r="E1205" i="1"/>
  <c r="D1205" i="1"/>
  <c r="B1205" i="1"/>
  <c r="A1205" i="1"/>
  <c r="G1204" i="1"/>
  <c r="F1204" i="1"/>
  <c r="E1204" i="1"/>
  <c r="D1204" i="1"/>
  <c r="B1204" i="1"/>
  <c r="A1204" i="1"/>
  <c r="G1203" i="1"/>
  <c r="F1203" i="1"/>
  <c r="E1203" i="1"/>
  <c r="D1203" i="1"/>
  <c r="B1203" i="1"/>
  <c r="A1203" i="1"/>
  <c r="G1202" i="1"/>
  <c r="F1202" i="1"/>
  <c r="E1202" i="1"/>
  <c r="D1202" i="1"/>
  <c r="B1202" i="1"/>
  <c r="A1202" i="1"/>
  <c r="G1201" i="1"/>
  <c r="F1201" i="1"/>
  <c r="E1201" i="1"/>
  <c r="D1201" i="1"/>
  <c r="B1201" i="1"/>
  <c r="A1201" i="1"/>
  <c r="G1200" i="1"/>
  <c r="F1200" i="1"/>
  <c r="E1200" i="1"/>
  <c r="D1200" i="1"/>
  <c r="B1200" i="1"/>
  <c r="A1200" i="1"/>
  <c r="G1199" i="1"/>
  <c r="F1199" i="1"/>
  <c r="E1199" i="1"/>
  <c r="D1199" i="1"/>
  <c r="B1199" i="1"/>
  <c r="A1199" i="1"/>
  <c r="G1198" i="1"/>
  <c r="F1198" i="1"/>
  <c r="E1198" i="1"/>
  <c r="D1198" i="1"/>
  <c r="B1198" i="1"/>
  <c r="A1198" i="1"/>
  <c r="G1197" i="1"/>
  <c r="F1197" i="1"/>
  <c r="E1197" i="1"/>
  <c r="D1197" i="1"/>
  <c r="B1197" i="1"/>
  <c r="A1197" i="1"/>
  <c r="G1196" i="1"/>
  <c r="F1196" i="1"/>
  <c r="E1196" i="1"/>
  <c r="D1196" i="1"/>
  <c r="B1196" i="1"/>
  <c r="A1196" i="1"/>
  <c r="G1195" i="1"/>
  <c r="F1195" i="1"/>
  <c r="E1195" i="1"/>
  <c r="D1195" i="1"/>
  <c r="B1195" i="1"/>
  <c r="A1195" i="1"/>
  <c r="G1194" i="1"/>
  <c r="F1194" i="1"/>
  <c r="E1194" i="1"/>
  <c r="D1194" i="1"/>
  <c r="B1194" i="1"/>
  <c r="A1194" i="1"/>
  <c r="G1193" i="1"/>
  <c r="F1193" i="1"/>
  <c r="E1193" i="1"/>
  <c r="D1193" i="1"/>
  <c r="B1193" i="1"/>
  <c r="A1193" i="1"/>
  <c r="G1192" i="1"/>
  <c r="F1192" i="1"/>
  <c r="E1192" i="1"/>
  <c r="D1192" i="1"/>
  <c r="B1192" i="1"/>
  <c r="A1192" i="1"/>
  <c r="G1191" i="1"/>
  <c r="F1191" i="1"/>
  <c r="E1191" i="1"/>
  <c r="D1191" i="1"/>
  <c r="B1191" i="1"/>
  <c r="A1191" i="1"/>
  <c r="G1190" i="1"/>
  <c r="F1190" i="1"/>
  <c r="E1190" i="1"/>
  <c r="D1190" i="1"/>
  <c r="B1190" i="1"/>
  <c r="A1190" i="1"/>
  <c r="G1189" i="1"/>
  <c r="F1189" i="1"/>
  <c r="E1189" i="1"/>
  <c r="D1189" i="1"/>
  <c r="B1189" i="1"/>
  <c r="A1189" i="1"/>
  <c r="G1188" i="1"/>
  <c r="F1188" i="1"/>
  <c r="E1188" i="1"/>
  <c r="D1188" i="1"/>
  <c r="B1188" i="1"/>
  <c r="A1188" i="1"/>
  <c r="G1187" i="1"/>
  <c r="F1187" i="1"/>
  <c r="E1187" i="1"/>
  <c r="D1187" i="1"/>
  <c r="B1187" i="1"/>
  <c r="A1187" i="1"/>
  <c r="G1186" i="1"/>
  <c r="F1186" i="1"/>
  <c r="E1186" i="1"/>
  <c r="D1186" i="1"/>
  <c r="B1186" i="1"/>
  <c r="A1186" i="1"/>
  <c r="G1185" i="1"/>
  <c r="F1185" i="1"/>
  <c r="E1185" i="1"/>
  <c r="D1185" i="1"/>
  <c r="B1185" i="1"/>
  <c r="A1185" i="1"/>
  <c r="G1184" i="1"/>
  <c r="F1184" i="1"/>
  <c r="E1184" i="1"/>
  <c r="D1184" i="1"/>
  <c r="B1184" i="1"/>
  <c r="A1184" i="1"/>
  <c r="G1183" i="1"/>
  <c r="F1183" i="1"/>
  <c r="E1183" i="1"/>
  <c r="D1183" i="1"/>
  <c r="B1183" i="1"/>
  <c r="A1183" i="1"/>
  <c r="G1182" i="1"/>
  <c r="F1182" i="1"/>
  <c r="E1182" i="1"/>
  <c r="D1182" i="1"/>
  <c r="B1182" i="1"/>
  <c r="A1182" i="1"/>
  <c r="G1181" i="1"/>
  <c r="F1181" i="1"/>
  <c r="E1181" i="1"/>
  <c r="D1181" i="1"/>
  <c r="B1181" i="1"/>
  <c r="A1181" i="1"/>
  <c r="G1180" i="1"/>
  <c r="F1180" i="1"/>
  <c r="E1180" i="1"/>
  <c r="D1180" i="1"/>
  <c r="B1180" i="1"/>
  <c r="A1180" i="1"/>
  <c r="G1179" i="1"/>
  <c r="F1179" i="1"/>
  <c r="E1179" i="1"/>
  <c r="D1179" i="1"/>
  <c r="B1179" i="1"/>
  <c r="A1179" i="1"/>
  <c r="G1178" i="1"/>
  <c r="F1178" i="1"/>
  <c r="E1178" i="1"/>
  <c r="D1178" i="1"/>
  <c r="B1178" i="1"/>
  <c r="A1178" i="1"/>
  <c r="G1177" i="1"/>
  <c r="F1177" i="1"/>
  <c r="E1177" i="1"/>
  <c r="D1177" i="1"/>
  <c r="B1177" i="1"/>
  <c r="A1177" i="1"/>
  <c r="G1176" i="1"/>
  <c r="F1176" i="1"/>
  <c r="E1176" i="1"/>
  <c r="D1176" i="1"/>
  <c r="B1176" i="1"/>
  <c r="A1176" i="1"/>
  <c r="G1175" i="1"/>
  <c r="F1175" i="1"/>
  <c r="E1175" i="1"/>
  <c r="D1175" i="1"/>
  <c r="B1175" i="1"/>
  <c r="A1175" i="1"/>
  <c r="G1174" i="1"/>
  <c r="F1174" i="1"/>
  <c r="E1174" i="1"/>
  <c r="D1174" i="1"/>
  <c r="B1174" i="1"/>
  <c r="A1174" i="1"/>
  <c r="G1173" i="1"/>
  <c r="F1173" i="1"/>
  <c r="E1173" i="1"/>
  <c r="D1173" i="1"/>
  <c r="B1173" i="1"/>
  <c r="A1173" i="1"/>
  <c r="G1172" i="1"/>
  <c r="F1172" i="1"/>
  <c r="E1172" i="1"/>
  <c r="D1172" i="1"/>
  <c r="B1172" i="1"/>
  <c r="A1172" i="1"/>
  <c r="G1171" i="1"/>
  <c r="F1171" i="1"/>
  <c r="E1171" i="1"/>
  <c r="D1171" i="1"/>
  <c r="B1171" i="1"/>
  <c r="A1171" i="1"/>
  <c r="G1170" i="1"/>
  <c r="F1170" i="1"/>
  <c r="E1170" i="1"/>
  <c r="D1170" i="1"/>
  <c r="B1170" i="1"/>
  <c r="A1170" i="1"/>
  <c r="G1169" i="1"/>
  <c r="F1169" i="1"/>
  <c r="E1169" i="1"/>
  <c r="D1169" i="1"/>
  <c r="B1169" i="1"/>
  <c r="A1169" i="1"/>
  <c r="G1168" i="1"/>
  <c r="F1168" i="1"/>
  <c r="E1168" i="1"/>
  <c r="D1168" i="1"/>
  <c r="B1168" i="1"/>
  <c r="A1168" i="1"/>
  <c r="G1167" i="1"/>
  <c r="F1167" i="1"/>
  <c r="E1167" i="1"/>
  <c r="D1167" i="1"/>
  <c r="B1167" i="1"/>
  <c r="A1167" i="1"/>
  <c r="G1166" i="1"/>
  <c r="F1166" i="1"/>
  <c r="E1166" i="1"/>
  <c r="D1166" i="1"/>
  <c r="B1166" i="1"/>
  <c r="A1166" i="1"/>
  <c r="G1165" i="1"/>
  <c r="F1165" i="1"/>
  <c r="E1165" i="1"/>
  <c r="D1165" i="1"/>
  <c r="B1165" i="1"/>
  <c r="A1165" i="1"/>
  <c r="G1164" i="1"/>
  <c r="F1164" i="1"/>
  <c r="E1164" i="1"/>
  <c r="D1164" i="1"/>
  <c r="B1164" i="1"/>
  <c r="A1164" i="1"/>
  <c r="G1163" i="1"/>
  <c r="F1163" i="1"/>
  <c r="E1163" i="1"/>
  <c r="D1163" i="1"/>
  <c r="B1163" i="1"/>
  <c r="A1163" i="1"/>
  <c r="G1162" i="1"/>
  <c r="F1162" i="1"/>
  <c r="E1162" i="1"/>
  <c r="D1162" i="1"/>
  <c r="B1162" i="1"/>
  <c r="A1162" i="1"/>
  <c r="G1161" i="1"/>
  <c r="F1161" i="1"/>
  <c r="E1161" i="1"/>
  <c r="D1161" i="1"/>
  <c r="B1161" i="1"/>
  <c r="A1161" i="1"/>
  <c r="G1160" i="1"/>
  <c r="F1160" i="1"/>
  <c r="E1160" i="1"/>
  <c r="D1160" i="1"/>
  <c r="B1160" i="1"/>
  <c r="A1160" i="1"/>
  <c r="G1159" i="1"/>
  <c r="F1159" i="1"/>
  <c r="E1159" i="1"/>
  <c r="D1159" i="1"/>
  <c r="B1159" i="1"/>
  <c r="A1159" i="1"/>
  <c r="G1158" i="1"/>
  <c r="F1158" i="1"/>
  <c r="E1158" i="1"/>
  <c r="D1158" i="1"/>
  <c r="B1158" i="1"/>
  <c r="A1158" i="1"/>
  <c r="G1157" i="1"/>
  <c r="F1157" i="1"/>
  <c r="E1157" i="1"/>
  <c r="D1157" i="1"/>
  <c r="B1157" i="1"/>
  <c r="A1157" i="1"/>
  <c r="G1156" i="1"/>
  <c r="F1156" i="1"/>
  <c r="E1156" i="1"/>
  <c r="D1156" i="1"/>
  <c r="B1156" i="1"/>
  <c r="A1156" i="1"/>
  <c r="G1155" i="1"/>
  <c r="F1155" i="1"/>
  <c r="E1155" i="1"/>
  <c r="D1155" i="1"/>
  <c r="B1155" i="1"/>
  <c r="A1155" i="1"/>
  <c r="G1154" i="1"/>
  <c r="F1154" i="1"/>
  <c r="E1154" i="1"/>
  <c r="D1154" i="1"/>
  <c r="B1154" i="1"/>
  <c r="A1154" i="1"/>
  <c r="G1153" i="1"/>
  <c r="F1153" i="1"/>
  <c r="E1153" i="1"/>
  <c r="D1153" i="1"/>
  <c r="B1153" i="1"/>
  <c r="A1153" i="1"/>
  <c r="G1152" i="1"/>
  <c r="F1152" i="1"/>
  <c r="E1152" i="1"/>
  <c r="D1152" i="1"/>
  <c r="B1152" i="1"/>
  <c r="A1152" i="1"/>
  <c r="G1151" i="1"/>
  <c r="F1151" i="1"/>
  <c r="E1151" i="1"/>
  <c r="D1151" i="1"/>
  <c r="B1151" i="1"/>
  <c r="A1151" i="1"/>
  <c r="G1150" i="1"/>
  <c r="F1150" i="1"/>
  <c r="E1150" i="1"/>
  <c r="D1150" i="1"/>
  <c r="B1150" i="1"/>
  <c r="A1150" i="1"/>
  <c r="G1149" i="1"/>
  <c r="F1149" i="1"/>
  <c r="E1149" i="1"/>
  <c r="D1149" i="1"/>
  <c r="B1149" i="1"/>
  <c r="A1149" i="1"/>
  <c r="G1148" i="1"/>
  <c r="F1148" i="1"/>
  <c r="E1148" i="1"/>
  <c r="D1148" i="1"/>
  <c r="B1148" i="1"/>
  <c r="A1148" i="1"/>
  <c r="G1147" i="1"/>
  <c r="F1147" i="1"/>
  <c r="E1147" i="1"/>
  <c r="D1147" i="1"/>
  <c r="B1147" i="1"/>
  <c r="A1147" i="1"/>
  <c r="G1146" i="1"/>
  <c r="F1146" i="1"/>
  <c r="E1146" i="1"/>
  <c r="D1146" i="1"/>
  <c r="B1146" i="1"/>
  <c r="A1146" i="1"/>
  <c r="G1145" i="1"/>
  <c r="F1145" i="1"/>
  <c r="E1145" i="1"/>
  <c r="D1145" i="1"/>
  <c r="B1145" i="1"/>
  <c r="A1145" i="1"/>
  <c r="G1144" i="1"/>
  <c r="F1144" i="1"/>
  <c r="E1144" i="1"/>
  <c r="D1144" i="1"/>
  <c r="B1144" i="1"/>
  <c r="A1144" i="1"/>
  <c r="G1143" i="1"/>
  <c r="F1143" i="1"/>
  <c r="E1143" i="1"/>
  <c r="D1143" i="1"/>
  <c r="B1143" i="1"/>
  <c r="A1143" i="1"/>
  <c r="G1142" i="1"/>
  <c r="F1142" i="1"/>
  <c r="E1142" i="1"/>
  <c r="D1142" i="1"/>
  <c r="B1142" i="1"/>
  <c r="A1142" i="1"/>
  <c r="G1141" i="1"/>
  <c r="F1141" i="1"/>
  <c r="E1141" i="1"/>
  <c r="D1141" i="1"/>
  <c r="B1141" i="1"/>
  <c r="A1141" i="1"/>
  <c r="G1140" i="1"/>
  <c r="F1140" i="1"/>
  <c r="E1140" i="1"/>
  <c r="D1140" i="1"/>
  <c r="B1140" i="1"/>
  <c r="A1140" i="1"/>
  <c r="G1139" i="1"/>
  <c r="F1139" i="1"/>
  <c r="E1139" i="1"/>
  <c r="D1139" i="1"/>
  <c r="B1139" i="1"/>
  <c r="A1139" i="1"/>
  <c r="G1138" i="1"/>
  <c r="F1138" i="1"/>
  <c r="E1138" i="1"/>
  <c r="D1138" i="1"/>
  <c r="B1138" i="1"/>
  <c r="A1138" i="1"/>
  <c r="G1137" i="1"/>
  <c r="F1137" i="1"/>
  <c r="E1137" i="1"/>
  <c r="D1137" i="1"/>
  <c r="B1137" i="1"/>
  <c r="A1137" i="1"/>
  <c r="G1136" i="1"/>
  <c r="F1136" i="1"/>
  <c r="E1136" i="1"/>
  <c r="D1136" i="1"/>
  <c r="B1136" i="1"/>
  <c r="A1136" i="1"/>
  <c r="G1135" i="1"/>
  <c r="F1135" i="1"/>
  <c r="E1135" i="1"/>
  <c r="D1135" i="1"/>
  <c r="B1135" i="1"/>
  <c r="A1135" i="1"/>
  <c r="G1134" i="1"/>
  <c r="F1134" i="1"/>
  <c r="E1134" i="1"/>
  <c r="D1134" i="1"/>
  <c r="B1134" i="1"/>
  <c r="A1134" i="1"/>
  <c r="G1133" i="1"/>
  <c r="F1133" i="1"/>
  <c r="E1133" i="1"/>
  <c r="D1133" i="1"/>
  <c r="B1133" i="1"/>
  <c r="A1133" i="1"/>
  <c r="G1132" i="1"/>
  <c r="F1132" i="1"/>
  <c r="E1132" i="1"/>
  <c r="D1132" i="1"/>
  <c r="B1132" i="1"/>
  <c r="A1132" i="1"/>
  <c r="G1131" i="1"/>
  <c r="F1131" i="1"/>
  <c r="E1131" i="1"/>
  <c r="D1131" i="1"/>
  <c r="B1131" i="1"/>
  <c r="A1131" i="1"/>
  <c r="G1130" i="1"/>
  <c r="F1130" i="1"/>
  <c r="E1130" i="1"/>
  <c r="D1130" i="1"/>
  <c r="B1130" i="1"/>
  <c r="A1130" i="1"/>
  <c r="G1129" i="1"/>
  <c r="F1129" i="1"/>
  <c r="E1129" i="1"/>
  <c r="D1129" i="1"/>
  <c r="B1129" i="1"/>
  <c r="A1129" i="1"/>
  <c r="G1128" i="1"/>
  <c r="F1128" i="1"/>
  <c r="E1128" i="1"/>
  <c r="D1128" i="1"/>
  <c r="B1128" i="1"/>
  <c r="A1128" i="1"/>
  <c r="G1127" i="1"/>
  <c r="F1127" i="1"/>
  <c r="E1127" i="1"/>
  <c r="D1127" i="1"/>
  <c r="B1127" i="1"/>
  <c r="A1127" i="1"/>
  <c r="G1126" i="1"/>
  <c r="F1126" i="1"/>
  <c r="E1126" i="1"/>
  <c r="D1126" i="1"/>
  <c r="B1126" i="1"/>
  <c r="A1126" i="1"/>
  <c r="G1125" i="1"/>
  <c r="F1125" i="1"/>
  <c r="E1125" i="1"/>
  <c r="D1125" i="1"/>
  <c r="B1125" i="1"/>
  <c r="A1125" i="1"/>
  <c r="G1124" i="1"/>
  <c r="F1124" i="1"/>
  <c r="E1124" i="1"/>
  <c r="D1124" i="1"/>
  <c r="B1124" i="1"/>
  <c r="A1124" i="1"/>
  <c r="G1123" i="1"/>
  <c r="F1123" i="1"/>
  <c r="E1123" i="1"/>
  <c r="D1123" i="1"/>
  <c r="B1123" i="1"/>
  <c r="A1123" i="1"/>
  <c r="G1122" i="1"/>
  <c r="F1122" i="1"/>
  <c r="E1122" i="1"/>
  <c r="D1122" i="1"/>
  <c r="B1122" i="1"/>
  <c r="A1122" i="1"/>
  <c r="G1121" i="1"/>
  <c r="F1121" i="1"/>
  <c r="E1121" i="1"/>
  <c r="D1121" i="1"/>
  <c r="B1121" i="1"/>
  <c r="A1121" i="1"/>
  <c r="G1120" i="1"/>
  <c r="F1120" i="1"/>
  <c r="E1120" i="1"/>
  <c r="D1120" i="1"/>
  <c r="B1120" i="1"/>
  <c r="A1120" i="1"/>
  <c r="G1119" i="1"/>
  <c r="F1119" i="1"/>
  <c r="E1119" i="1"/>
  <c r="D1119" i="1"/>
  <c r="B1119" i="1"/>
  <c r="A1119" i="1"/>
  <c r="G1118" i="1"/>
  <c r="F1118" i="1"/>
  <c r="E1118" i="1"/>
  <c r="D1118" i="1"/>
  <c r="B1118" i="1"/>
  <c r="A1118" i="1"/>
  <c r="G1117" i="1"/>
  <c r="F1117" i="1"/>
  <c r="E1117" i="1"/>
  <c r="D1117" i="1"/>
  <c r="B1117" i="1"/>
  <c r="A1117" i="1"/>
  <c r="G1116" i="1"/>
  <c r="F1116" i="1"/>
  <c r="E1116" i="1"/>
  <c r="D1116" i="1"/>
  <c r="B1116" i="1"/>
  <c r="A1116" i="1"/>
  <c r="G1115" i="1"/>
  <c r="F1115" i="1"/>
  <c r="E1115" i="1"/>
  <c r="D1115" i="1"/>
  <c r="B1115" i="1"/>
  <c r="A1115" i="1"/>
  <c r="G1114" i="1"/>
  <c r="F1114" i="1"/>
  <c r="E1114" i="1"/>
  <c r="D1114" i="1"/>
  <c r="B1114" i="1"/>
  <c r="A1114" i="1"/>
  <c r="G1113" i="1"/>
  <c r="F1113" i="1"/>
  <c r="E1113" i="1"/>
  <c r="D1113" i="1"/>
  <c r="B1113" i="1"/>
  <c r="A1113" i="1"/>
  <c r="G1112" i="1"/>
  <c r="F1112" i="1"/>
  <c r="E1112" i="1"/>
  <c r="D1112" i="1"/>
  <c r="B1112" i="1"/>
  <c r="A1112" i="1"/>
  <c r="G1111" i="1"/>
  <c r="F1111" i="1"/>
  <c r="E1111" i="1"/>
  <c r="D1111" i="1"/>
  <c r="B1111" i="1"/>
  <c r="A1111" i="1"/>
  <c r="G1110" i="1"/>
  <c r="F1110" i="1"/>
  <c r="E1110" i="1"/>
  <c r="D1110" i="1"/>
  <c r="B1110" i="1"/>
  <c r="A1110" i="1"/>
  <c r="G1109" i="1"/>
  <c r="F1109" i="1"/>
  <c r="E1109" i="1"/>
  <c r="D1109" i="1"/>
  <c r="B1109" i="1"/>
  <c r="A1109" i="1"/>
  <c r="G1108" i="1"/>
  <c r="F1108" i="1"/>
  <c r="E1108" i="1"/>
  <c r="D1108" i="1"/>
  <c r="B1108" i="1"/>
  <c r="A1108" i="1"/>
  <c r="G1107" i="1"/>
  <c r="F1107" i="1"/>
  <c r="E1107" i="1"/>
  <c r="D1107" i="1"/>
  <c r="B1107" i="1"/>
  <c r="A1107" i="1"/>
  <c r="G1106" i="1"/>
  <c r="F1106" i="1"/>
  <c r="E1106" i="1"/>
  <c r="D1106" i="1"/>
  <c r="B1106" i="1"/>
  <c r="A1106" i="1"/>
  <c r="G1105" i="1"/>
  <c r="F1105" i="1"/>
  <c r="E1105" i="1"/>
  <c r="D1105" i="1"/>
  <c r="B1105" i="1"/>
  <c r="A1105" i="1"/>
  <c r="G1104" i="1"/>
  <c r="F1104" i="1"/>
  <c r="E1104" i="1"/>
  <c r="D1104" i="1"/>
  <c r="B1104" i="1"/>
  <c r="A1104" i="1"/>
  <c r="G1103" i="1"/>
  <c r="F1103" i="1"/>
  <c r="E1103" i="1"/>
  <c r="D1103" i="1"/>
  <c r="B1103" i="1"/>
  <c r="A1103" i="1"/>
  <c r="G1102" i="1"/>
  <c r="F1102" i="1"/>
  <c r="E1102" i="1"/>
  <c r="D1102" i="1"/>
  <c r="B1102" i="1"/>
  <c r="A1102" i="1"/>
  <c r="G1101" i="1"/>
  <c r="F1101" i="1"/>
  <c r="E1101" i="1"/>
  <c r="D1101" i="1"/>
  <c r="B1101" i="1"/>
  <c r="A1101" i="1"/>
  <c r="G1100" i="1"/>
  <c r="F1100" i="1"/>
  <c r="E1100" i="1"/>
  <c r="D1100" i="1"/>
  <c r="B1100" i="1"/>
  <c r="A1100" i="1"/>
  <c r="G1099" i="1"/>
  <c r="F1099" i="1"/>
  <c r="E1099" i="1"/>
  <c r="D1099" i="1"/>
  <c r="B1099" i="1"/>
  <c r="A1099" i="1"/>
  <c r="G1098" i="1"/>
  <c r="F1098" i="1"/>
  <c r="E1098" i="1"/>
  <c r="D1098" i="1"/>
  <c r="B1098" i="1"/>
  <c r="A1098" i="1"/>
  <c r="G1097" i="1"/>
  <c r="F1097" i="1"/>
  <c r="E1097" i="1"/>
  <c r="D1097" i="1"/>
  <c r="B1097" i="1"/>
  <c r="A1097" i="1"/>
  <c r="G1096" i="1"/>
  <c r="F1096" i="1"/>
  <c r="E1096" i="1"/>
  <c r="D1096" i="1"/>
  <c r="B1096" i="1"/>
  <c r="A1096" i="1"/>
  <c r="G1095" i="1"/>
  <c r="F1095" i="1"/>
  <c r="E1095" i="1"/>
  <c r="D1095" i="1"/>
  <c r="B1095" i="1"/>
  <c r="A1095" i="1"/>
  <c r="G1094" i="1"/>
  <c r="F1094" i="1"/>
  <c r="E1094" i="1"/>
  <c r="D1094" i="1"/>
  <c r="B1094" i="1"/>
  <c r="A1094" i="1"/>
  <c r="G1093" i="1"/>
  <c r="F1093" i="1"/>
  <c r="E1093" i="1"/>
  <c r="D1093" i="1"/>
  <c r="B1093" i="1"/>
  <c r="A1093" i="1"/>
  <c r="G1092" i="1"/>
  <c r="F1092" i="1"/>
  <c r="E1092" i="1"/>
  <c r="D1092" i="1"/>
  <c r="B1092" i="1"/>
  <c r="A1092" i="1"/>
  <c r="G1091" i="1"/>
  <c r="F1091" i="1"/>
  <c r="E1091" i="1"/>
  <c r="D1091" i="1"/>
  <c r="B1091" i="1"/>
  <c r="A1091" i="1"/>
  <c r="G1090" i="1"/>
  <c r="F1090" i="1"/>
  <c r="E1090" i="1"/>
  <c r="D1090" i="1"/>
  <c r="B1090" i="1"/>
  <c r="A1090" i="1"/>
  <c r="G1089" i="1"/>
  <c r="F1089" i="1"/>
  <c r="E1089" i="1"/>
  <c r="D1089" i="1"/>
  <c r="B1089" i="1"/>
  <c r="A1089" i="1"/>
  <c r="G1088" i="1"/>
  <c r="F1088" i="1"/>
  <c r="E1088" i="1"/>
  <c r="D1088" i="1"/>
  <c r="B1088" i="1"/>
  <c r="A1088" i="1"/>
  <c r="G1087" i="1"/>
  <c r="F1087" i="1"/>
  <c r="E1087" i="1"/>
  <c r="D1087" i="1"/>
  <c r="B1087" i="1"/>
  <c r="A1087" i="1"/>
  <c r="G1086" i="1"/>
  <c r="F1086" i="1"/>
  <c r="E1086" i="1"/>
  <c r="D1086" i="1"/>
  <c r="B1086" i="1"/>
  <c r="A1086" i="1"/>
  <c r="G1085" i="1"/>
  <c r="F1085" i="1"/>
  <c r="E1085" i="1"/>
  <c r="D1085" i="1"/>
  <c r="B1085" i="1"/>
  <c r="A1085" i="1"/>
  <c r="G1084" i="1"/>
  <c r="F1084" i="1"/>
  <c r="E1084" i="1"/>
  <c r="D1084" i="1"/>
  <c r="B1084" i="1"/>
  <c r="A1084" i="1"/>
  <c r="G1083" i="1"/>
  <c r="F1083" i="1"/>
  <c r="E1083" i="1"/>
  <c r="D1083" i="1"/>
  <c r="B1083" i="1"/>
  <c r="A1083" i="1"/>
  <c r="G1082" i="1"/>
  <c r="F1082" i="1"/>
  <c r="E1082" i="1"/>
  <c r="D1082" i="1"/>
  <c r="B1082" i="1"/>
  <c r="A1082" i="1"/>
  <c r="G1081" i="1"/>
  <c r="F1081" i="1"/>
  <c r="E1081" i="1"/>
  <c r="D1081" i="1"/>
  <c r="B1081" i="1"/>
  <c r="A1081" i="1"/>
  <c r="G1080" i="1"/>
  <c r="F1080" i="1"/>
  <c r="E1080" i="1"/>
  <c r="D1080" i="1"/>
  <c r="B1080" i="1"/>
  <c r="A1080" i="1"/>
  <c r="G1079" i="1"/>
  <c r="F1079" i="1"/>
  <c r="E1079" i="1"/>
  <c r="D1079" i="1"/>
  <c r="B1079" i="1"/>
  <c r="A1079" i="1"/>
  <c r="G1078" i="1"/>
  <c r="F1078" i="1"/>
  <c r="E1078" i="1"/>
  <c r="D1078" i="1"/>
  <c r="B1078" i="1"/>
  <c r="A1078" i="1"/>
  <c r="G1077" i="1"/>
  <c r="F1077" i="1"/>
  <c r="E1077" i="1"/>
  <c r="D1077" i="1"/>
  <c r="B1077" i="1"/>
  <c r="A1077" i="1"/>
  <c r="G1076" i="1"/>
  <c r="F1076" i="1"/>
  <c r="E1076" i="1"/>
  <c r="D1076" i="1"/>
  <c r="B1076" i="1"/>
  <c r="A1076" i="1"/>
  <c r="G1075" i="1"/>
  <c r="F1075" i="1"/>
  <c r="E1075" i="1"/>
  <c r="D1075" i="1"/>
  <c r="B1075" i="1"/>
  <c r="A1075" i="1"/>
  <c r="G1074" i="1"/>
  <c r="F1074" i="1"/>
  <c r="E1074" i="1"/>
  <c r="D1074" i="1"/>
  <c r="B1074" i="1"/>
  <c r="A1074" i="1"/>
  <c r="G1073" i="1"/>
  <c r="F1073" i="1"/>
  <c r="E1073" i="1"/>
  <c r="D1073" i="1"/>
  <c r="B1073" i="1"/>
  <c r="A1073" i="1"/>
  <c r="G1072" i="1"/>
  <c r="F1072" i="1"/>
  <c r="E1072" i="1"/>
  <c r="D1072" i="1"/>
  <c r="B1072" i="1"/>
  <c r="A1072" i="1"/>
  <c r="G1071" i="1"/>
  <c r="F1071" i="1"/>
  <c r="E1071" i="1"/>
  <c r="D1071" i="1"/>
  <c r="B1071" i="1"/>
  <c r="A1071" i="1"/>
  <c r="G1070" i="1"/>
  <c r="F1070" i="1"/>
  <c r="E1070" i="1"/>
  <c r="D1070" i="1"/>
  <c r="B1070" i="1"/>
  <c r="A1070" i="1"/>
  <c r="G1069" i="1"/>
  <c r="F1069" i="1"/>
  <c r="E1069" i="1"/>
  <c r="D1069" i="1"/>
  <c r="B1069" i="1"/>
  <c r="A1069" i="1"/>
  <c r="G1068" i="1"/>
  <c r="F1068" i="1"/>
  <c r="E1068" i="1"/>
  <c r="D1068" i="1"/>
  <c r="B1068" i="1"/>
  <c r="A1068" i="1"/>
  <c r="G1067" i="1"/>
  <c r="F1067" i="1"/>
  <c r="E1067" i="1"/>
  <c r="D1067" i="1"/>
  <c r="B1067" i="1"/>
  <c r="A1067" i="1"/>
  <c r="G1066" i="1"/>
  <c r="F1066" i="1"/>
  <c r="E1066" i="1"/>
  <c r="D1066" i="1"/>
  <c r="B1066" i="1"/>
  <c r="A1066" i="1"/>
  <c r="G1065" i="1"/>
  <c r="F1065" i="1"/>
  <c r="E1065" i="1"/>
  <c r="D1065" i="1"/>
  <c r="B1065" i="1"/>
  <c r="A1065" i="1"/>
  <c r="G1064" i="1"/>
  <c r="F1064" i="1"/>
  <c r="E1064" i="1"/>
  <c r="D1064" i="1"/>
  <c r="B1064" i="1"/>
  <c r="A1064" i="1"/>
  <c r="G1063" i="1"/>
  <c r="F1063" i="1"/>
  <c r="E1063" i="1"/>
  <c r="D1063" i="1"/>
  <c r="B1063" i="1"/>
  <c r="A1063" i="1"/>
  <c r="G1062" i="1"/>
  <c r="F1062" i="1"/>
  <c r="E1062" i="1"/>
  <c r="D1062" i="1"/>
  <c r="B1062" i="1"/>
  <c r="A1062" i="1"/>
  <c r="G1061" i="1"/>
  <c r="F1061" i="1"/>
  <c r="E1061" i="1"/>
  <c r="D1061" i="1"/>
  <c r="B1061" i="1"/>
  <c r="A1061" i="1"/>
  <c r="G1060" i="1"/>
  <c r="F1060" i="1"/>
  <c r="E1060" i="1"/>
  <c r="D1060" i="1"/>
  <c r="B1060" i="1"/>
  <c r="A1060" i="1"/>
  <c r="G1059" i="1"/>
  <c r="F1059" i="1"/>
  <c r="E1059" i="1"/>
  <c r="D1059" i="1"/>
  <c r="B1059" i="1"/>
  <c r="A1059" i="1"/>
  <c r="G1058" i="1"/>
  <c r="F1058" i="1"/>
  <c r="E1058" i="1"/>
  <c r="D1058" i="1"/>
  <c r="B1058" i="1"/>
  <c r="A1058" i="1"/>
  <c r="G1057" i="1"/>
  <c r="F1057" i="1"/>
  <c r="E1057" i="1"/>
  <c r="D1057" i="1"/>
  <c r="B1057" i="1"/>
  <c r="A1057" i="1"/>
  <c r="G1056" i="1"/>
  <c r="F1056" i="1"/>
  <c r="E1056" i="1"/>
  <c r="D1056" i="1"/>
  <c r="B1056" i="1"/>
  <c r="A1056" i="1"/>
  <c r="G1055" i="1"/>
  <c r="F1055" i="1"/>
  <c r="E1055" i="1"/>
  <c r="D1055" i="1"/>
  <c r="B1055" i="1"/>
  <c r="A1055" i="1"/>
  <c r="G1054" i="1"/>
  <c r="F1054" i="1"/>
  <c r="E1054" i="1"/>
  <c r="D1054" i="1"/>
  <c r="B1054" i="1"/>
  <c r="A1054" i="1"/>
  <c r="G1053" i="1"/>
  <c r="F1053" i="1"/>
  <c r="E1053" i="1"/>
  <c r="D1053" i="1"/>
  <c r="B1053" i="1"/>
  <c r="A1053" i="1"/>
  <c r="G1052" i="1"/>
  <c r="F1052" i="1"/>
  <c r="E1052" i="1"/>
  <c r="D1052" i="1"/>
  <c r="B1052" i="1"/>
  <c r="A1052" i="1"/>
  <c r="G1051" i="1"/>
  <c r="F1051" i="1"/>
  <c r="E1051" i="1"/>
  <c r="D1051" i="1"/>
  <c r="B1051" i="1"/>
  <c r="A1051" i="1"/>
  <c r="G1050" i="1"/>
  <c r="F1050" i="1"/>
  <c r="E1050" i="1"/>
  <c r="D1050" i="1"/>
  <c r="B1050" i="1"/>
  <c r="A1050" i="1"/>
  <c r="G1049" i="1"/>
  <c r="F1049" i="1"/>
  <c r="E1049" i="1"/>
  <c r="D1049" i="1"/>
  <c r="B1049" i="1"/>
  <c r="A1049" i="1"/>
  <c r="G1048" i="1"/>
  <c r="F1048" i="1"/>
  <c r="E1048" i="1"/>
  <c r="D1048" i="1"/>
  <c r="B1048" i="1"/>
  <c r="A1048" i="1"/>
  <c r="G1047" i="1"/>
  <c r="F1047" i="1"/>
  <c r="E1047" i="1"/>
  <c r="D1047" i="1"/>
  <c r="B1047" i="1"/>
  <c r="A1047" i="1"/>
  <c r="G1046" i="1"/>
  <c r="F1046" i="1"/>
  <c r="E1046" i="1"/>
  <c r="D1046" i="1"/>
  <c r="B1046" i="1"/>
  <c r="A1046" i="1"/>
  <c r="G1045" i="1"/>
  <c r="F1045" i="1"/>
  <c r="E1045" i="1"/>
  <c r="D1045" i="1"/>
  <c r="B1045" i="1"/>
  <c r="A1045" i="1"/>
  <c r="G1044" i="1"/>
  <c r="F1044" i="1"/>
  <c r="E1044" i="1"/>
  <c r="D1044" i="1"/>
  <c r="B1044" i="1"/>
  <c r="A1044" i="1"/>
  <c r="G1043" i="1"/>
  <c r="F1043" i="1"/>
  <c r="E1043" i="1"/>
  <c r="D1043" i="1"/>
  <c r="B1043" i="1"/>
  <c r="A1043" i="1"/>
  <c r="G1042" i="1"/>
  <c r="F1042" i="1"/>
  <c r="E1042" i="1"/>
  <c r="D1042" i="1"/>
  <c r="B1042" i="1"/>
  <c r="A1042" i="1"/>
  <c r="G1041" i="1"/>
  <c r="F1041" i="1"/>
  <c r="E1041" i="1"/>
  <c r="D1041" i="1"/>
  <c r="B1041" i="1"/>
  <c r="A1041" i="1"/>
  <c r="G1040" i="1"/>
  <c r="F1040" i="1"/>
  <c r="E1040" i="1"/>
  <c r="D1040" i="1"/>
  <c r="B1040" i="1"/>
  <c r="A1040" i="1"/>
  <c r="G1039" i="1"/>
  <c r="F1039" i="1"/>
  <c r="E1039" i="1"/>
  <c r="D1039" i="1"/>
  <c r="B1039" i="1"/>
  <c r="A1039" i="1"/>
  <c r="G1038" i="1"/>
  <c r="F1038" i="1"/>
  <c r="E1038" i="1"/>
  <c r="D1038" i="1"/>
  <c r="B1038" i="1"/>
  <c r="A1038" i="1"/>
  <c r="G1037" i="1"/>
  <c r="F1037" i="1"/>
  <c r="E1037" i="1"/>
  <c r="D1037" i="1"/>
  <c r="B1037" i="1"/>
  <c r="A1037" i="1"/>
  <c r="G1036" i="1"/>
  <c r="F1036" i="1"/>
  <c r="E1036" i="1"/>
  <c r="D1036" i="1"/>
  <c r="B1036" i="1"/>
  <c r="A1036" i="1"/>
  <c r="G1035" i="1"/>
  <c r="F1035" i="1"/>
  <c r="E1035" i="1"/>
  <c r="D1035" i="1"/>
  <c r="B1035" i="1"/>
  <c r="A1035" i="1"/>
  <c r="G1034" i="1"/>
  <c r="F1034" i="1"/>
  <c r="E1034" i="1"/>
  <c r="D1034" i="1"/>
  <c r="B1034" i="1"/>
  <c r="A1034" i="1"/>
  <c r="G1033" i="1"/>
  <c r="F1033" i="1"/>
  <c r="E1033" i="1"/>
  <c r="D1033" i="1"/>
  <c r="B1033" i="1"/>
  <c r="A1033" i="1"/>
  <c r="G1032" i="1"/>
  <c r="F1032" i="1"/>
  <c r="E1032" i="1"/>
  <c r="D1032" i="1"/>
  <c r="B1032" i="1"/>
  <c r="A1032" i="1"/>
  <c r="G1031" i="1"/>
  <c r="F1031" i="1"/>
  <c r="E1031" i="1"/>
  <c r="D1031" i="1"/>
  <c r="B1031" i="1"/>
  <c r="A1031" i="1"/>
  <c r="G1030" i="1"/>
  <c r="F1030" i="1"/>
  <c r="E1030" i="1"/>
  <c r="D1030" i="1"/>
  <c r="B1030" i="1"/>
  <c r="A1030" i="1"/>
  <c r="G1029" i="1"/>
  <c r="F1029" i="1"/>
  <c r="E1029" i="1"/>
  <c r="D1029" i="1"/>
  <c r="B1029" i="1"/>
  <c r="A1029" i="1"/>
  <c r="G1028" i="1"/>
  <c r="F1028" i="1"/>
  <c r="E1028" i="1"/>
  <c r="D1028" i="1"/>
  <c r="B1028" i="1"/>
  <c r="A1028" i="1"/>
  <c r="G1027" i="1"/>
  <c r="F1027" i="1"/>
  <c r="E1027" i="1"/>
  <c r="D1027" i="1"/>
  <c r="B1027" i="1"/>
  <c r="A1027" i="1"/>
  <c r="G1026" i="1"/>
  <c r="F1026" i="1"/>
  <c r="E1026" i="1"/>
  <c r="D1026" i="1"/>
  <c r="B1026" i="1"/>
  <c r="A1026" i="1"/>
  <c r="G1025" i="1"/>
  <c r="F1025" i="1"/>
  <c r="E1025" i="1"/>
  <c r="D1025" i="1"/>
  <c r="B1025" i="1"/>
  <c r="A1025" i="1"/>
  <c r="G1024" i="1"/>
  <c r="F1024" i="1"/>
  <c r="E1024" i="1"/>
  <c r="D1024" i="1"/>
  <c r="B1024" i="1"/>
  <c r="A1024" i="1"/>
  <c r="G1023" i="1"/>
  <c r="F1023" i="1"/>
  <c r="E1023" i="1"/>
  <c r="D1023" i="1"/>
  <c r="B1023" i="1"/>
  <c r="A1023" i="1"/>
  <c r="G1022" i="1"/>
  <c r="F1022" i="1"/>
  <c r="E1022" i="1"/>
  <c r="D1022" i="1"/>
  <c r="B1022" i="1"/>
  <c r="A1022" i="1"/>
  <c r="G1021" i="1"/>
  <c r="F1021" i="1"/>
  <c r="E1021" i="1"/>
  <c r="D1021" i="1"/>
  <c r="B1021" i="1"/>
  <c r="A1021" i="1"/>
  <c r="G1020" i="1"/>
  <c r="F1020" i="1"/>
  <c r="E1020" i="1"/>
  <c r="D1020" i="1"/>
  <c r="B1020" i="1"/>
  <c r="A1020" i="1"/>
  <c r="G1019" i="1"/>
  <c r="F1019" i="1"/>
  <c r="E1019" i="1"/>
  <c r="D1019" i="1"/>
  <c r="B1019" i="1"/>
  <c r="A1019" i="1"/>
  <c r="G1018" i="1"/>
  <c r="F1018" i="1"/>
  <c r="E1018" i="1"/>
  <c r="D1018" i="1"/>
  <c r="B1018" i="1"/>
  <c r="A1018" i="1"/>
  <c r="G1017" i="1"/>
  <c r="F1017" i="1"/>
  <c r="E1017" i="1"/>
  <c r="D1017" i="1"/>
  <c r="B1017" i="1"/>
  <c r="A1017" i="1"/>
  <c r="G1016" i="1"/>
  <c r="F1016" i="1"/>
  <c r="E1016" i="1"/>
  <c r="D1016" i="1"/>
  <c r="B1016" i="1"/>
  <c r="A1016" i="1"/>
  <c r="G1015" i="1"/>
  <c r="F1015" i="1"/>
  <c r="E1015" i="1"/>
  <c r="D1015" i="1"/>
  <c r="B1015" i="1"/>
  <c r="A1015" i="1"/>
  <c r="G1014" i="1"/>
  <c r="F1014" i="1"/>
  <c r="E1014" i="1"/>
  <c r="D1014" i="1"/>
  <c r="B1014" i="1"/>
  <c r="A1014" i="1"/>
  <c r="G1013" i="1"/>
  <c r="F1013" i="1"/>
  <c r="E1013" i="1"/>
  <c r="D1013" i="1"/>
  <c r="B1013" i="1"/>
  <c r="A1013" i="1"/>
  <c r="G1012" i="1"/>
  <c r="F1012" i="1"/>
  <c r="E1012" i="1"/>
  <c r="D1012" i="1"/>
  <c r="B1012" i="1"/>
  <c r="A1012" i="1"/>
  <c r="G1011" i="1"/>
  <c r="F1011" i="1"/>
  <c r="E1011" i="1"/>
  <c r="D1011" i="1"/>
  <c r="B1011" i="1"/>
  <c r="A1011" i="1"/>
  <c r="G1010" i="1"/>
  <c r="F1010" i="1"/>
  <c r="E1010" i="1"/>
  <c r="D1010" i="1"/>
  <c r="B1010" i="1"/>
  <c r="A1010" i="1"/>
  <c r="G1009" i="1"/>
  <c r="F1009" i="1"/>
  <c r="E1009" i="1"/>
  <c r="D1009" i="1"/>
  <c r="B1009" i="1"/>
  <c r="A1009" i="1"/>
  <c r="G1008" i="1"/>
  <c r="F1008" i="1"/>
  <c r="E1008" i="1"/>
  <c r="D1008" i="1"/>
  <c r="B1008" i="1"/>
  <c r="A1008" i="1"/>
  <c r="G1007" i="1"/>
  <c r="F1007" i="1"/>
  <c r="E1007" i="1"/>
  <c r="D1007" i="1"/>
  <c r="B1007" i="1"/>
  <c r="A1007" i="1"/>
  <c r="G1006" i="1"/>
  <c r="F1006" i="1"/>
  <c r="E1006" i="1"/>
  <c r="D1006" i="1"/>
  <c r="B1006" i="1"/>
  <c r="A1006" i="1"/>
  <c r="G1005" i="1"/>
  <c r="F1005" i="1"/>
  <c r="E1005" i="1"/>
  <c r="D1005" i="1"/>
  <c r="B1005" i="1"/>
  <c r="A1005" i="1"/>
  <c r="G1004" i="1"/>
  <c r="F1004" i="1"/>
  <c r="E1004" i="1"/>
  <c r="D1004" i="1"/>
  <c r="B1004" i="1"/>
  <c r="A1004" i="1"/>
  <c r="G1003" i="1"/>
  <c r="F1003" i="1"/>
  <c r="E1003" i="1"/>
  <c r="D1003" i="1"/>
  <c r="B1003" i="1"/>
  <c r="A1003" i="1"/>
  <c r="G1002" i="1"/>
  <c r="F1002" i="1"/>
  <c r="E1002" i="1"/>
  <c r="D1002" i="1"/>
  <c r="B1002" i="1"/>
  <c r="A1002" i="1"/>
  <c r="G1001" i="1"/>
  <c r="F1001" i="1"/>
  <c r="E1001" i="1"/>
  <c r="D1001" i="1"/>
  <c r="B1001" i="1"/>
  <c r="A1001" i="1"/>
  <c r="G1000" i="1"/>
  <c r="F1000" i="1"/>
  <c r="E1000" i="1"/>
  <c r="D1000" i="1"/>
  <c r="B1000" i="1"/>
  <c r="A1000" i="1"/>
  <c r="G999" i="1"/>
  <c r="F999" i="1"/>
  <c r="E999" i="1"/>
  <c r="D999" i="1"/>
  <c r="B999" i="1"/>
  <c r="A999" i="1"/>
  <c r="G998" i="1"/>
  <c r="F998" i="1"/>
  <c r="E998" i="1"/>
  <c r="D998" i="1"/>
  <c r="B998" i="1"/>
  <c r="A998" i="1"/>
  <c r="G997" i="1"/>
  <c r="F997" i="1"/>
  <c r="E997" i="1"/>
  <c r="D997" i="1"/>
  <c r="B997" i="1"/>
  <c r="A997" i="1"/>
  <c r="G996" i="1"/>
  <c r="F996" i="1"/>
  <c r="E996" i="1"/>
  <c r="D996" i="1"/>
  <c r="B996" i="1"/>
  <c r="A996" i="1"/>
  <c r="G995" i="1"/>
  <c r="F995" i="1"/>
  <c r="E995" i="1"/>
  <c r="D995" i="1"/>
  <c r="B995" i="1"/>
  <c r="A995" i="1"/>
  <c r="G994" i="1"/>
  <c r="F994" i="1"/>
  <c r="E994" i="1"/>
  <c r="D994" i="1"/>
  <c r="B994" i="1"/>
  <c r="A994" i="1"/>
  <c r="G993" i="1"/>
  <c r="F993" i="1"/>
  <c r="E993" i="1"/>
  <c r="D993" i="1"/>
  <c r="B993" i="1"/>
  <c r="A993" i="1"/>
  <c r="G992" i="1"/>
  <c r="F992" i="1"/>
  <c r="E992" i="1"/>
  <c r="D992" i="1"/>
  <c r="B992" i="1"/>
  <c r="A992" i="1"/>
  <c r="G991" i="1"/>
  <c r="F991" i="1"/>
  <c r="E991" i="1"/>
  <c r="D991" i="1"/>
  <c r="B991" i="1"/>
  <c r="A991" i="1"/>
  <c r="G990" i="1"/>
  <c r="F990" i="1"/>
  <c r="E990" i="1"/>
  <c r="D990" i="1"/>
  <c r="B990" i="1"/>
  <c r="A990" i="1"/>
  <c r="G989" i="1"/>
  <c r="F989" i="1"/>
  <c r="E989" i="1"/>
  <c r="D989" i="1"/>
  <c r="B989" i="1"/>
  <c r="A989" i="1"/>
  <c r="G988" i="1"/>
  <c r="F988" i="1"/>
  <c r="E988" i="1"/>
  <c r="D988" i="1"/>
  <c r="B988" i="1"/>
  <c r="A988" i="1"/>
  <c r="G987" i="1"/>
  <c r="F987" i="1"/>
  <c r="E987" i="1"/>
  <c r="D987" i="1"/>
  <c r="B987" i="1"/>
  <c r="A987" i="1"/>
  <c r="G986" i="1"/>
  <c r="F986" i="1"/>
  <c r="E986" i="1"/>
  <c r="D986" i="1"/>
  <c r="B986" i="1"/>
  <c r="A986" i="1"/>
  <c r="G985" i="1"/>
  <c r="F985" i="1"/>
  <c r="E985" i="1"/>
  <c r="D985" i="1"/>
  <c r="B985" i="1"/>
  <c r="A985" i="1"/>
  <c r="G984" i="1"/>
  <c r="F984" i="1"/>
  <c r="E984" i="1"/>
  <c r="D984" i="1"/>
  <c r="B984" i="1"/>
  <c r="A984" i="1"/>
  <c r="G983" i="1"/>
  <c r="F983" i="1"/>
  <c r="E983" i="1"/>
  <c r="D983" i="1"/>
  <c r="B983" i="1"/>
  <c r="A983" i="1"/>
  <c r="G982" i="1"/>
  <c r="F982" i="1"/>
  <c r="E982" i="1"/>
  <c r="D982" i="1"/>
  <c r="B982" i="1"/>
  <c r="A982" i="1"/>
  <c r="G981" i="1"/>
  <c r="F981" i="1"/>
  <c r="E981" i="1"/>
  <c r="D981" i="1"/>
  <c r="B981" i="1"/>
  <c r="A981" i="1"/>
  <c r="G980" i="1"/>
  <c r="F980" i="1"/>
  <c r="E980" i="1"/>
  <c r="D980" i="1"/>
  <c r="B980" i="1"/>
  <c r="A980" i="1"/>
  <c r="G979" i="1"/>
  <c r="F979" i="1"/>
  <c r="E979" i="1"/>
  <c r="D979" i="1"/>
  <c r="B979" i="1"/>
  <c r="A979" i="1"/>
  <c r="G978" i="1"/>
  <c r="F978" i="1"/>
  <c r="E978" i="1"/>
  <c r="D978" i="1"/>
  <c r="B978" i="1"/>
  <c r="A978" i="1"/>
  <c r="G977" i="1"/>
  <c r="F977" i="1"/>
  <c r="E977" i="1"/>
  <c r="D977" i="1"/>
  <c r="B977" i="1"/>
  <c r="A977" i="1"/>
  <c r="G976" i="1"/>
  <c r="F976" i="1"/>
  <c r="E976" i="1"/>
  <c r="D976" i="1"/>
  <c r="B976" i="1"/>
  <c r="A976" i="1"/>
  <c r="G975" i="1"/>
  <c r="F975" i="1"/>
  <c r="E975" i="1"/>
  <c r="D975" i="1"/>
  <c r="B975" i="1"/>
  <c r="A975" i="1"/>
  <c r="G974" i="1"/>
  <c r="F974" i="1"/>
  <c r="E974" i="1"/>
  <c r="D974" i="1"/>
  <c r="B974" i="1"/>
  <c r="A974" i="1"/>
  <c r="G973" i="1"/>
  <c r="F973" i="1"/>
  <c r="E973" i="1"/>
  <c r="D973" i="1"/>
  <c r="B973" i="1"/>
  <c r="A973" i="1"/>
  <c r="G972" i="1"/>
  <c r="F972" i="1"/>
  <c r="E972" i="1"/>
  <c r="D972" i="1"/>
  <c r="B972" i="1"/>
  <c r="A972" i="1"/>
  <c r="G971" i="1"/>
  <c r="F971" i="1"/>
  <c r="E971" i="1"/>
  <c r="D971" i="1"/>
  <c r="B971" i="1"/>
  <c r="A971" i="1"/>
  <c r="G970" i="1"/>
  <c r="F970" i="1"/>
  <c r="E970" i="1"/>
  <c r="D970" i="1"/>
  <c r="B970" i="1"/>
  <c r="A970" i="1"/>
  <c r="G969" i="1"/>
  <c r="F969" i="1"/>
  <c r="E969" i="1"/>
  <c r="D969" i="1"/>
  <c r="B969" i="1"/>
  <c r="A969" i="1"/>
  <c r="G968" i="1"/>
  <c r="F968" i="1"/>
  <c r="E968" i="1"/>
  <c r="D968" i="1"/>
  <c r="B968" i="1"/>
  <c r="A968" i="1"/>
  <c r="G967" i="1"/>
  <c r="F967" i="1"/>
  <c r="E967" i="1"/>
  <c r="D967" i="1"/>
  <c r="B967" i="1"/>
  <c r="A967" i="1"/>
  <c r="G966" i="1"/>
  <c r="F966" i="1"/>
  <c r="E966" i="1"/>
  <c r="D966" i="1"/>
  <c r="B966" i="1"/>
  <c r="A966" i="1"/>
  <c r="G965" i="1"/>
  <c r="F965" i="1"/>
  <c r="E965" i="1"/>
  <c r="D965" i="1"/>
  <c r="B965" i="1"/>
  <c r="A965" i="1"/>
  <c r="G964" i="1"/>
  <c r="F964" i="1"/>
  <c r="E964" i="1"/>
  <c r="D964" i="1"/>
  <c r="B964" i="1"/>
  <c r="A964" i="1"/>
  <c r="G963" i="1"/>
  <c r="F963" i="1"/>
  <c r="E963" i="1"/>
  <c r="D963" i="1"/>
  <c r="B963" i="1"/>
  <c r="A963" i="1"/>
  <c r="G962" i="1"/>
  <c r="F962" i="1"/>
  <c r="E962" i="1"/>
  <c r="D962" i="1"/>
  <c r="B962" i="1"/>
  <c r="A962" i="1"/>
  <c r="G961" i="1"/>
  <c r="F961" i="1"/>
  <c r="E961" i="1"/>
  <c r="D961" i="1"/>
  <c r="B961" i="1"/>
  <c r="A961" i="1"/>
  <c r="G960" i="1"/>
  <c r="F960" i="1"/>
  <c r="E960" i="1"/>
  <c r="D960" i="1"/>
  <c r="B960" i="1"/>
  <c r="A960" i="1"/>
  <c r="G959" i="1"/>
  <c r="F959" i="1"/>
  <c r="E959" i="1"/>
  <c r="D959" i="1"/>
  <c r="B959" i="1"/>
  <c r="A959" i="1"/>
  <c r="G958" i="1"/>
  <c r="F958" i="1"/>
  <c r="E958" i="1"/>
  <c r="D958" i="1"/>
  <c r="B958" i="1"/>
  <c r="A958" i="1"/>
  <c r="G957" i="1"/>
  <c r="F957" i="1"/>
  <c r="E957" i="1"/>
  <c r="D957" i="1"/>
  <c r="B957" i="1"/>
  <c r="A957" i="1"/>
  <c r="G956" i="1"/>
  <c r="F956" i="1"/>
  <c r="E956" i="1"/>
  <c r="D956" i="1"/>
  <c r="B956" i="1"/>
  <c r="A956" i="1"/>
  <c r="G955" i="1"/>
  <c r="F955" i="1"/>
  <c r="E955" i="1"/>
  <c r="D955" i="1"/>
  <c r="B955" i="1"/>
  <c r="A955" i="1"/>
  <c r="G954" i="1"/>
  <c r="F954" i="1"/>
  <c r="E954" i="1"/>
  <c r="D954" i="1"/>
  <c r="B954" i="1"/>
  <c r="A954" i="1"/>
  <c r="G953" i="1"/>
  <c r="F953" i="1"/>
  <c r="E953" i="1"/>
  <c r="D953" i="1"/>
  <c r="B953" i="1"/>
  <c r="A953" i="1"/>
  <c r="G952" i="1"/>
  <c r="F952" i="1"/>
  <c r="E952" i="1"/>
  <c r="D952" i="1"/>
  <c r="B952" i="1"/>
  <c r="A952" i="1"/>
  <c r="G951" i="1"/>
  <c r="F951" i="1"/>
  <c r="E951" i="1"/>
  <c r="D951" i="1"/>
  <c r="B951" i="1"/>
  <c r="A951" i="1"/>
  <c r="G950" i="1"/>
  <c r="F950" i="1"/>
  <c r="E950" i="1"/>
  <c r="D950" i="1"/>
  <c r="B950" i="1"/>
  <c r="A950" i="1"/>
  <c r="G949" i="1"/>
  <c r="F949" i="1"/>
  <c r="E949" i="1"/>
  <c r="D949" i="1"/>
  <c r="B949" i="1"/>
  <c r="A949" i="1"/>
  <c r="G948" i="1"/>
  <c r="F948" i="1"/>
  <c r="E948" i="1"/>
  <c r="D948" i="1"/>
  <c r="B948" i="1"/>
  <c r="A948" i="1"/>
  <c r="G947" i="1"/>
  <c r="F947" i="1"/>
  <c r="E947" i="1"/>
  <c r="D947" i="1"/>
  <c r="B947" i="1"/>
  <c r="A947" i="1"/>
  <c r="G946" i="1"/>
  <c r="F946" i="1"/>
  <c r="E946" i="1"/>
  <c r="D946" i="1"/>
  <c r="B946" i="1"/>
  <c r="A946" i="1"/>
  <c r="G945" i="1"/>
  <c r="F945" i="1"/>
  <c r="E945" i="1"/>
  <c r="D945" i="1"/>
  <c r="B945" i="1"/>
  <c r="A945" i="1"/>
  <c r="G944" i="1"/>
  <c r="F944" i="1"/>
  <c r="E944" i="1"/>
  <c r="D944" i="1"/>
  <c r="B944" i="1"/>
  <c r="A944" i="1"/>
  <c r="G943" i="1"/>
  <c r="F943" i="1"/>
  <c r="E943" i="1"/>
  <c r="D943" i="1"/>
  <c r="B943" i="1"/>
  <c r="A943" i="1"/>
  <c r="G942" i="1"/>
  <c r="F942" i="1"/>
  <c r="E942" i="1"/>
  <c r="D942" i="1"/>
  <c r="B942" i="1"/>
  <c r="A942" i="1"/>
  <c r="G941" i="1"/>
  <c r="F941" i="1"/>
  <c r="E941" i="1"/>
  <c r="D941" i="1"/>
  <c r="B941" i="1"/>
  <c r="A941" i="1"/>
  <c r="G940" i="1"/>
  <c r="F940" i="1"/>
  <c r="E940" i="1"/>
  <c r="D940" i="1"/>
  <c r="B940" i="1"/>
  <c r="A940" i="1"/>
  <c r="G939" i="1"/>
  <c r="F939" i="1"/>
  <c r="E939" i="1"/>
  <c r="D939" i="1"/>
  <c r="B939" i="1"/>
  <c r="A939" i="1"/>
  <c r="G938" i="1"/>
  <c r="F938" i="1"/>
  <c r="E938" i="1"/>
  <c r="D938" i="1"/>
  <c r="B938" i="1"/>
  <c r="A938" i="1"/>
  <c r="G937" i="1"/>
  <c r="F937" i="1"/>
  <c r="E937" i="1"/>
  <c r="D937" i="1"/>
  <c r="B937" i="1"/>
  <c r="A937" i="1"/>
  <c r="G936" i="1"/>
  <c r="F936" i="1"/>
  <c r="E936" i="1"/>
  <c r="D936" i="1"/>
  <c r="B936" i="1"/>
  <c r="A936" i="1"/>
  <c r="G935" i="1"/>
  <c r="F935" i="1"/>
  <c r="E935" i="1"/>
  <c r="D935" i="1"/>
  <c r="B935" i="1"/>
  <c r="A935" i="1"/>
  <c r="G934" i="1"/>
  <c r="F934" i="1"/>
  <c r="E934" i="1"/>
  <c r="D934" i="1"/>
  <c r="B934" i="1"/>
  <c r="A934" i="1"/>
  <c r="G933" i="1"/>
  <c r="F933" i="1"/>
  <c r="E933" i="1"/>
  <c r="D933" i="1"/>
  <c r="B933" i="1"/>
  <c r="A933" i="1"/>
  <c r="G932" i="1"/>
  <c r="F932" i="1"/>
  <c r="E932" i="1"/>
  <c r="D932" i="1"/>
  <c r="B932" i="1"/>
  <c r="A932" i="1"/>
  <c r="G931" i="1"/>
  <c r="F931" i="1"/>
  <c r="E931" i="1"/>
  <c r="D931" i="1"/>
  <c r="B931" i="1"/>
  <c r="A931" i="1"/>
  <c r="G930" i="1"/>
  <c r="F930" i="1"/>
  <c r="E930" i="1"/>
  <c r="D930" i="1"/>
  <c r="B930" i="1"/>
  <c r="A930" i="1"/>
  <c r="G929" i="1"/>
  <c r="F929" i="1"/>
  <c r="E929" i="1"/>
  <c r="D929" i="1"/>
  <c r="B929" i="1"/>
  <c r="A929" i="1"/>
  <c r="G928" i="1"/>
  <c r="F928" i="1"/>
  <c r="E928" i="1"/>
  <c r="D928" i="1"/>
  <c r="B928" i="1"/>
  <c r="A928" i="1"/>
  <c r="G927" i="1"/>
  <c r="F927" i="1"/>
  <c r="E927" i="1"/>
  <c r="D927" i="1"/>
  <c r="B927" i="1"/>
  <c r="A927" i="1"/>
  <c r="G926" i="1"/>
  <c r="F926" i="1"/>
  <c r="E926" i="1"/>
  <c r="D926" i="1"/>
  <c r="B926" i="1"/>
  <c r="A926" i="1"/>
  <c r="G925" i="1"/>
  <c r="F925" i="1"/>
  <c r="E925" i="1"/>
  <c r="D925" i="1"/>
  <c r="B925" i="1"/>
  <c r="A925" i="1"/>
  <c r="G924" i="1"/>
  <c r="F924" i="1"/>
  <c r="E924" i="1"/>
  <c r="D924" i="1"/>
  <c r="B924" i="1"/>
  <c r="A924" i="1"/>
  <c r="G923" i="1"/>
  <c r="F923" i="1"/>
  <c r="E923" i="1"/>
  <c r="D923" i="1"/>
  <c r="B923" i="1"/>
  <c r="A923" i="1"/>
  <c r="G922" i="1"/>
  <c r="F922" i="1"/>
  <c r="E922" i="1"/>
  <c r="D922" i="1"/>
  <c r="B922" i="1"/>
  <c r="A922" i="1"/>
  <c r="G921" i="1"/>
  <c r="F921" i="1"/>
  <c r="E921" i="1"/>
  <c r="D921" i="1"/>
  <c r="B921" i="1"/>
  <c r="A921" i="1"/>
  <c r="G920" i="1"/>
  <c r="F920" i="1"/>
  <c r="E920" i="1"/>
  <c r="D920" i="1"/>
  <c r="B920" i="1"/>
  <c r="A920" i="1"/>
  <c r="G919" i="1"/>
  <c r="F919" i="1"/>
  <c r="E919" i="1"/>
  <c r="D919" i="1"/>
  <c r="B919" i="1"/>
  <c r="A919" i="1"/>
  <c r="G918" i="1"/>
  <c r="F918" i="1"/>
  <c r="E918" i="1"/>
  <c r="D918" i="1"/>
  <c r="B918" i="1"/>
  <c r="A918" i="1"/>
  <c r="G917" i="1"/>
  <c r="F917" i="1"/>
  <c r="E917" i="1"/>
  <c r="D917" i="1"/>
  <c r="B917" i="1"/>
  <c r="A917" i="1"/>
  <c r="G916" i="1"/>
  <c r="F916" i="1"/>
  <c r="E916" i="1"/>
  <c r="D916" i="1"/>
  <c r="B916" i="1"/>
  <c r="A916" i="1"/>
  <c r="G915" i="1"/>
  <c r="F915" i="1"/>
  <c r="E915" i="1"/>
  <c r="D915" i="1"/>
  <c r="B915" i="1"/>
  <c r="A915" i="1"/>
  <c r="G914" i="1"/>
  <c r="F914" i="1"/>
  <c r="E914" i="1"/>
  <c r="D914" i="1"/>
  <c r="B914" i="1"/>
  <c r="A914" i="1"/>
  <c r="G913" i="1"/>
  <c r="F913" i="1"/>
  <c r="E913" i="1"/>
  <c r="D913" i="1"/>
  <c r="B913" i="1"/>
  <c r="A913" i="1"/>
  <c r="G912" i="1"/>
  <c r="F912" i="1"/>
  <c r="E912" i="1"/>
  <c r="D912" i="1"/>
  <c r="B912" i="1"/>
  <c r="A912" i="1"/>
  <c r="G911" i="1"/>
  <c r="F911" i="1"/>
  <c r="E911" i="1"/>
  <c r="D911" i="1"/>
  <c r="B911" i="1"/>
  <c r="A911" i="1"/>
  <c r="G910" i="1"/>
  <c r="F910" i="1"/>
  <c r="E910" i="1"/>
  <c r="D910" i="1"/>
  <c r="B910" i="1"/>
  <c r="A910" i="1"/>
  <c r="G909" i="1"/>
  <c r="F909" i="1"/>
  <c r="E909" i="1"/>
  <c r="D909" i="1"/>
  <c r="B909" i="1"/>
  <c r="A909" i="1"/>
  <c r="G908" i="1"/>
  <c r="F908" i="1"/>
  <c r="E908" i="1"/>
  <c r="D908" i="1"/>
  <c r="B908" i="1"/>
  <c r="A908" i="1"/>
  <c r="G907" i="1"/>
  <c r="F907" i="1"/>
  <c r="E907" i="1"/>
  <c r="D907" i="1"/>
  <c r="B907" i="1"/>
  <c r="A907" i="1"/>
  <c r="G906" i="1"/>
  <c r="F906" i="1"/>
  <c r="E906" i="1"/>
  <c r="D906" i="1"/>
  <c r="B906" i="1"/>
  <c r="A906" i="1"/>
  <c r="G905" i="1"/>
  <c r="F905" i="1"/>
  <c r="E905" i="1"/>
  <c r="D905" i="1"/>
  <c r="B905" i="1"/>
  <c r="A905" i="1"/>
  <c r="G904" i="1"/>
  <c r="F904" i="1"/>
  <c r="E904" i="1"/>
  <c r="D904" i="1"/>
  <c r="B904" i="1"/>
  <c r="A904" i="1"/>
  <c r="G903" i="1"/>
  <c r="F903" i="1"/>
  <c r="E903" i="1"/>
  <c r="D903" i="1"/>
  <c r="B903" i="1"/>
  <c r="A903" i="1"/>
  <c r="G902" i="1"/>
  <c r="F902" i="1"/>
  <c r="E902" i="1"/>
  <c r="D902" i="1"/>
  <c r="B902" i="1"/>
  <c r="A902" i="1"/>
  <c r="G901" i="1"/>
  <c r="F901" i="1"/>
  <c r="E901" i="1"/>
  <c r="D901" i="1"/>
  <c r="B901" i="1"/>
  <c r="A901" i="1"/>
  <c r="G900" i="1"/>
  <c r="F900" i="1"/>
  <c r="E900" i="1"/>
  <c r="D900" i="1"/>
  <c r="B900" i="1"/>
  <c r="A900" i="1"/>
  <c r="G899" i="1"/>
  <c r="F899" i="1"/>
  <c r="E899" i="1"/>
  <c r="D899" i="1"/>
  <c r="B899" i="1"/>
  <c r="A899" i="1"/>
  <c r="G898" i="1"/>
  <c r="F898" i="1"/>
  <c r="E898" i="1"/>
  <c r="D898" i="1"/>
  <c r="B898" i="1"/>
  <c r="A898" i="1"/>
  <c r="G897" i="1"/>
  <c r="F897" i="1"/>
  <c r="E897" i="1"/>
  <c r="D897" i="1"/>
  <c r="B897" i="1"/>
  <c r="A897" i="1"/>
  <c r="G896" i="1"/>
  <c r="F896" i="1"/>
  <c r="E896" i="1"/>
  <c r="D896" i="1"/>
  <c r="B896" i="1"/>
  <c r="A896" i="1"/>
  <c r="G895" i="1"/>
  <c r="F895" i="1"/>
  <c r="E895" i="1"/>
  <c r="D895" i="1"/>
  <c r="B895" i="1"/>
  <c r="A895" i="1"/>
  <c r="G894" i="1"/>
  <c r="F894" i="1"/>
  <c r="E894" i="1"/>
  <c r="D894" i="1"/>
  <c r="B894" i="1"/>
  <c r="A894" i="1"/>
  <c r="G893" i="1"/>
  <c r="F893" i="1"/>
  <c r="E893" i="1"/>
  <c r="D893" i="1"/>
  <c r="B893" i="1"/>
  <c r="A893" i="1"/>
  <c r="G892" i="1"/>
  <c r="F892" i="1"/>
  <c r="E892" i="1"/>
  <c r="D892" i="1"/>
  <c r="B892" i="1"/>
  <c r="A892" i="1"/>
  <c r="G891" i="1"/>
  <c r="F891" i="1"/>
  <c r="E891" i="1"/>
  <c r="D891" i="1"/>
  <c r="B891" i="1"/>
  <c r="A891" i="1"/>
  <c r="G890" i="1"/>
  <c r="F890" i="1"/>
  <c r="E890" i="1"/>
  <c r="D890" i="1"/>
  <c r="B890" i="1"/>
  <c r="A890" i="1"/>
  <c r="G889" i="1"/>
  <c r="F889" i="1"/>
  <c r="E889" i="1"/>
  <c r="D889" i="1"/>
  <c r="B889" i="1"/>
  <c r="A889" i="1"/>
  <c r="G888" i="1"/>
  <c r="F888" i="1"/>
  <c r="E888" i="1"/>
  <c r="D888" i="1"/>
  <c r="B888" i="1"/>
  <c r="A888" i="1"/>
  <c r="G887" i="1"/>
  <c r="F887" i="1"/>
  <c r="E887" i="1"/>
  <c r="D887" i="1"/>
  <c r="B887" i="1"/>
  <c r="A887" i="1"/>
  <c r="G886" i="1"/>
  <c r="F886" i="1"/>
  <c r="E886" i="1"/>
  <c r="D886" i="1"/>
  <c r="B886" i="1"/>
  <c r="A886" i="1"/>
  <c r="G885" i="1"/>
  <c r="F885" i="1"/>
  <c r="E885" i="1"/>
  <c r="D885" i="1"/>
  <c r="B885" i="1"/>
  <c r="A885" i="1"/>
  <c r="G884" i="1"/>
  <c r="F884" i="1"/>
  <c r="E884" i="1"/>
  <c r="D884" i="1"/>
  <c r="B884" i="1"/>
  <c r="A884" i="1"/>
  <c r="G883" i="1"/>
  <c r="F883" i="1"/>
  <c r="E883" i="1"/>
  <c r="D883" i="1"/>
  <c r="B883" i="1"/>
  <c r="A883" i="1"/>
  <c r="G882" i="1"/>
  <c r="F882" i="1"/>
  <c r="E882" i="1"/>
  <c r="D882" i="1"/>
  <c r="B882" i="1"/>
  <c r="A882" i="1"/>
  <c r="G881" i="1"/>
  <c r="F881" i="1"/>
  <c r="E881" i="1"/>
  <c r="D881" i="1"/>
  <c r="B881" i="1"/>
  <c r="A881" i="1"/>
  <c r="G880" i="1"/>
  <c r="F880" i="1"/>
  <c r="E880" i="1"/>
  <c r="D880" i="1"/>
  <c r="B880" i="1"/>
  <c r="A880" i="1"/>
  <c r="G879" i="1"/>
  <c r="F879" i="1"/>
  <c r="E879" i="1"/>
  <c r="D879" i="1"/>
  <c r="B879" i="1"/>
  <c r="A879" i="1"/>
  <c r="G878" i="1"/>
  <c r="F878" i="1"/>
  <c r="E878" i="1"/>
  <c r="D878" i="1"/>
  <c r="B878" i="1"/>
  <c r="A878" i="1"/>
  <c r="G877" i="1"/>
  <c r="F877" i="1"/>
  <c r="E877" i="1"/>
  <c r="D877" i="1"/>
  <c r="B877" i="1"/>
  <c r="A877" i="1"/>
  <c r="G876" i="1"/>
  <c r="F876" i="1"/>
  <c r="E876" i="1"/>
  <c r="D876" i="1"/>
  <c r="B876" i="1"/>
  <c r="A876" i="1"/>
  <c r="G875" i="1"/>
  <c r="F875" i="1"/>
  <c r="E875" i="1"/>
  <c r="D875" i="1"/>
  <c r="B875" i="1"/>
  <c r="A875" i="1"/>
  <c r="G874" i="1"/>
  <c r="F874" i="1"/>
  <c r="E874" i="1"/>
  <c r="D874" i="1"/>
  <c r="B874" i="1"/>
  <c r="A874" i="1"/>
  <c r="G873" i="1"/>
  <c r="F873" i="1"/>
  <c r="E873" i="1"/>
  <c r="D873" i="1"/>
  <c r="B873" i="1"/>
  <c r="A873" i="1"/>
  <c r="G872" i="1"/>
  <c r="F872" i="1"/>
  <c r="E872" i="1"/>
  <c r="D872" i="1"/>
  <c r="B872" i="1"/>
  <c r="A872" i="1"/>
  <c r="G871" i="1"/>
  <c r="F871" i="1"/>
  <c r="E871" i="1"/>
  <c r="D871" i="1"/>
  <c r="B871" i="1"/>
  <c r="A871" i="1"/>
  <c r="G870" i="1"/>
  <c r="F870" i="1"/>
  <c r="E870" i="1"/>
  <c r="D870" i="1"/>
  <c r="B870" i="1"/>
  <c r="A870" i="1"/>
  <c r="G869" i="1"/>
  <c r="F869" i="1"/>
  <c r="E869" i="1"/>
  <c r="D869" i="1"/>
  <c r="B869" i="1"/>
  <c r="A869" i="1"/>
  <c r="G868" i="1"/>
  <c r="F868" i="1"/>
  <c r="E868" i="1"/>
  <c r="D868" i="1"/>
  <c r="B868" i="1"/>
  <c r="A868" i="1"/>
  <c r="G867" i="1"/>
  <c r="F867" i="1"/>
  <c r="E867" i="1"/>
  <c r="D867" i="1"/>
  <c r="B867" i="1"/>
  <c r="A867" i="1"/>
  <c r="G866" i="1"/>
  <c r="F866" i="1"/>
  <c r="E866" i="1"/>
  <c r="D866" i="1"/>
  <c r="B866" i="1"/>
  <c r="A866" i="1"/>
  <c r="G865" i="1"/>
  <c r="F865" i="1"/>
  <c r="E865" i="1"/>
  <c r="D865" i="1"/>
  <c r="B865" i="1"/>
  <c r="A865" i="1"/>
  <c r="G864" i="1"/>
  <c r="F864" i="1"/>
  <c r="E864" i="1"/>
  <c r="D864" i="1"/>
  <c r="B864" i="1"/>
  <c r="A864" i="1"/>
  <c r="G863" i="1"/>
  <c r="F863" i="1"/>
  <c r="E863" i="1"/>
  <c r="D863" i="1"/>
  <c r="B863" i="1"/>
  <c r="A863" i="1"/>
  <c r="G862" i="1"/>
  <c r="F862" i="1"/>
  <c r="E862" i="1"/>
  <c r="D862" i="1"/>
  <c r="B862" i="1"/>
  <c r="A862" i="1"/>
  <c r="G861" i="1"/>
  <c r="F861" i="1"/>
  <c r="E861" i="1"/>
  <c r="D861" i="1"/>
  <c r="B861" i="1"/>
  <c r="A861" i="1"/>
  <c r="G860" i="1"/>
  <c r="F860" i="1"/>
  <c r="E860" i="1"/>
  <c r="D860" i="1"/>
  <c r="B860" i="1"/>
  <c r="A860" i="1"/>
  <c r="G859" i="1"/>
  <c r="F859" i="1"/>
  <c r="E859" i="1"/>
  <c r="D859" i="1"/>
  <c r="B859" i="1"/>
  <c r="A859" i="1"/>
  <c r="G858" i="1"/>
  <c r="F858" i="1"/>
  <c r="E858" i="1"/>
  <c r="D858" i="1"/>
  <c r="B858" i="1"/>
  <c r="A858" i="1"/>
  <c r="G857" i="1"/>
  <c r="F857" i="1"/>
  <c r="E857" i="1"/>
  <c r="D857" i="1"/>
  <c r="B857" i="1"/>
  <c r="A857" i="1"/>
  <c r="G856" i="1"/>
  <c r="F856" i="1"/>
  <c r="E856" i="1"/>
  <c r="D856" i="1"/>
  <c r="B856" i="1"/>
  <c r="A856" i="1"/>
  <c r="G855" i="1"/>
  <c r="F855" i="1"/>
  <c r="E855" i="1"/>
  <c r="D855" i="1"/>
  <c r="B855" i="1"/>
  <c r="A855" i="1"/>
  <c r="G854" i="1"/>
  <c r="F854" i="1"/>
  <c r="E854" i="1"/>
  <c r="D854" i="1"/>
  <c r="B854" i="1"/>
  <c r="A854" i="1"/>
  <c r="G853" i="1"/>
  <c r="F853" i="1"/>
  <c r="E853" i="1"/>
  <c r="D853" i="1"/>
  <c r="B853" i="1"/>
  <c r="A853" i="1"/>
  <c r="G852" i="1"/>
  <c r="F852" i="1"/>
  <c r="E852" i="1"/>
  <c r="D852" i="1"/>
  <c r="B852" i="1"/>
  <c r="A852" i="1"/>
  <c r="G851" i="1"/>
  <c r="F851" i="1"/>
  <c r="E851" i="1"/>
  <c r="D851" i="1"/>
  <c r="B851" i="1"/>
  <c r="A851" i="1"/>
  <c r="G850" i="1"/>
  <c r="F850" i="1"/>
  <c r="E850" i="1"/>
  <c r="D850" i="1"/>
  <c r="B850" i="1"/>
  <c r="A850" i="1"/>
  <c r="G849" i="1"/>
  <c r="F849" i="1"/>
  <c r="E849" i="1"/>
  <c r="D849" i="1"/>
  <c r="B849" i="1"/>
  <c r="A849" i="1"/>
  <c r="G848" i="1"/>
  <c r="F848" i="1"/>
  <c r="E848" i="1"/>
  <c r="D848" i="1"/>
  <c r="B848" i="1"/>
  <c r="A848" i="1"/>
  <c r="G847" i="1"/>
  <c r="F847" i="1"/>
  <c r="E847" i="1"/>
  <c r="D847" i="1"/>
  <c r="B847" i="1"/>
  <c r="A847" i="1"/>
  <c r="G846" i="1"/>
  <c r="F846" i="1"/>
  <c r="E846" i="1"/>
  <c r="D846" i="1"/>
  <c r="B846" i="1"/>
  <c r="A846" i="1"/>
  <c r="G845" i="1"/>
  <c r="F845" i="1"/>
  <c r="E845" i="1"/>
  <c r="D845" i="1"/>
  <c r="B845" i="1"/>
  <c r="A845" i="1"/>
  <c r="G844" i="1"/>
  <c r="F844" i="1"/>
  <c r="E844" i="1"/>
  <c r="D844" i="1"/>
  <c r="B844" i="1"/>
  <c r="A844" i="1"/>
  <c r="G843" i="1"/>
  <c r="F843" i="1"/>
  <c r="E843" i="1"/>
  <c r="D843" i="1"/>
  <c r="B843" i="1"/>
  <c r="A843" i="1"/>
  <c r="G842" i="1"/>
  <c r="F842" i="1"/>
  <c r="E842" i="1"/>
  <c r="D842" i="1"/>
  <c r="B842" i="1"/>
  <c r="A842" i="1"/>
  <c r="G841" i="1"/>
  <c r="F841" i="1"/>
  <c r="E841" i="1"/>
  <c r="D841" i="1"/>
  <c r="B841" i="1"/>
  <c r="A841" i="1"/>
  <c r="G840" i="1"/>
  <c r="F840" i="1"/>
  <c r="E840" i="1"/>
  <c r="D840" i="1"/>
  <c r="B840" i="1"/>
  <c r="A840" i="1"/>
  <c r="G839" i="1"/>
  <c r="F839" i="1"/>
  <c r="E839" i="1"/>
  <c r="D839" i="1"/>
  <c r="B839" i="1"/>
  <c r="A839" i="1"/>
  <c r="G838" i="1"/>
  <c r="F838" i="1"/>
  <c r="E838" i="1"/>
  <c r="D838" i="1"/>
  <c r="B838" i="1"/>
  <c r="A838" i="1"/>
  <c r="G837" i="1"/>
  <c r="F837" i="1"/>
  <c r="E837" i="1"/>
  <c r="D837" i="1"/>
  <c r="B837" i="1"/>
  <c r="A837" i="1"/>
  <c r="G836" i="1"/>
  <c r="F836" i="1"/>
  <c r="E836" i="1"/>
  <c r="D836" i="1"/>
  <c r="B836" i="1"/>
  <c r="A836" i="1"/>
  <c r="G835" i="1"/>
  <c r="F835" i="1"/>
  <c r="E835" i="1"/>
  <c r="D835" i="1"/>
  <c r="B835" i="1"/>
  <c r="A835" i="1"/>
  <c r="G834" i="1"/>
  <c r="F834" i="1"/>
  <c r="E834" i="1"/>
  <c r="D834" i="1"/>
  <c r="B834" i="1"/>
  <c r="A834" i="1"/>
  <c r="G833" i="1"/>
  <c r="F833" i="1"/>
  <c r="E833" i="1"/>
  <c r="D833" i="1"/>
  <c r="B833" i="1"/>
  <c r="A833" i="1"/>
  <c r="G832" i="1"/>
  <c r="F832" i="1"/>
  <c r="E832" i="1"/>
  <c r="D832" i="1"/>
  <c r="B832" i="1"/>
  <c r="A832" i="1"/>
  <c r="G831" i="1"/>
  <c r="F831" i="1"/>
  <c r="E831" i="1"/>
  <c r="D831" i="1"/>
  <c r="B831" i="1"/>
  <c r="A831" i="1"/>
  <c r="G830" i="1"/>
  <c r="F830" i="1"/>
  <c r="E830" i="1"/>
  <c r="D830" i="1"/>
  <c r="B830" i="1"/>
  <c r="A830" i="1"/>
  <c r="G829" i="1"/>
  <c r="F829" i="1"/>
  <c r="E829" i="1"/>
  <c r="D829" i="1"/>
  <c r="B829" i="1"/>
  <c r="A829" i="1"/>
  <c r="G828" i="1"/>
  <c r="F828" i="1"/>
  <c r="E828" i="1"/>
  <c r="D828" i="1"/>
  <c r="B828" i="1"/>
  <c r="A828" i="1"/>
  <c r="G827" i="1"/>
  <c r="F827" i="1"/>
  <c r="E827" i="1"/>
  <c r="D827" i="1"/>
  <c r="B827" i="1"/>
  <c r="A827" i="1"/>
  <c r="G826" i="1"/>
  <c r="F826" i="1"/>
  <c r="E826" i="1"/>
  <c r="D826" i="1"/>
  <c r="B826" i="1"/>
  <c r="A826" i="1"/>
  <c r="G825" i="1"/>
  <c r="F825" i="1"/>
  <c r="E825" i="1"/>
  <c r="D825" i="1"/>
  <c r="B825" i="1"/>
  <c r="A825" i="1"/>
  <c r="G824" i="1"/>
  <c r="F824" i="1"/>
  <c r="E824" i="1"/>
  <c r="D824" i="1"/>
  <c r="B824" i="1"/>
  <c r="A824" i="1"/>
  <c r="G823" i="1"/>
  <c r="F823" i="1"/>
  <c r="E823" i="1"/>
  <c r="D823" i="1"/>
  <c r="B823" i="1"/>
  <c r="A823" i="1"/>
  <c r="G822" i="1"/>
  <c r="F822" i="1"/>
  <c r="E822" i="1"/>
  <c r="D822" i="1"/>
  <c r="B822" i="1"/>
  <c r="A822" i="1"/>
  <c r="G821" i="1"/>
  <c r="F821" i="1"/>
  <c r="E821" i="1"/>
  <c r="D821" i="1"/>
  <c r="B821" i="1"/>
  <c r="A821" i="1"/>
  <c r="G820" i="1"/>
  <c r="F820" i="1"/>
  <c r="E820" i="1"/>
  <c r="D820" i="1"/>
  <c r="B820" i="1"/>
  <c r="A820" i="1"/>
  <c r="G819" i="1"/>
  <c r="F819" i="1"/>
  <c r="E819" i="1"/>
  <c r="D819" i="1"/>
  <c r="B819" i="1"/>
  <c r="A819" i="1"/>
  <c r="G818" i="1"/>
  <c r="F818" i="1"/>
  <c r="E818" i="1"/>
  <c r="D818" i="1"/>
  <c r="B818" i="1"/>
  <c r="A818" i="1"/>
  <c r="G817" i="1"/>
  <c r="F817" i="1"/>
  <c r="E817" i="1"/>
  <c r="D817" i="1"/>
  <c r="B817" i="1"/>
  <c r="A817" i="1"/>
  <c r="G816" i="1"/>
  <c r="F816" i="1"/>
  <c r="E816" i="1"/>
  <c r="D816" i="1"/>
  <c r="B816" i="1"/>
  <c r="A816" i="1"/>
  <c r="G815" i="1"/>
  <c r="F815" i="1"/>
  <c r="E815" i="1"/>
  <c r="D815" i="1"/>
  <c r="B815" i="1"/>
  <c r="A815" i="1"/>
  <c r="G814" i="1"/>
  <c r="F814" i="1"/>
  <c r="E814" i="1"/>
  <c r="D814" i="1"/>
  <c r="B814" i="1"/>
  <c r="A814" i="1"/>
  <c r="G813" i="1"/>
  <c r="F813" i="1"/>
  <c r="E813" i="1"/>
  <c r="D813" i="1"/>
  <c r="B813" i="1"/>
  <c r="A813" i="1"/>
  <c r="G812" i="1"/>
  <c r="F812" i="1"/>
  <c r="E812" i="1"/>
  <c r="D812" i="1"/>
  <c r="B812" i="1"/>
  <c r="A812" i="1"/>
  <c r="G811" i="1"/>
  <c r="F811" i="1"/>
  <c r="E811" i="1"/>
  <c r="D811" i="1"/>
  <c r="B811" i="1"/>
  <c r="A811" i="1"/>
  <c r="G810" i="1"/>
  <c r="F810" i="1"/>
  <c r="E810" i="1"/>
  <c r="D810" i="1"/>
  <c r="B810" i="1"/>
  <c r="A810" i="1"/>
  <c r="G809" i="1"/>
  <c r="F809" i="1"/>
  <c r="E809" i="1"/>
  <c r="D809" i="1"/>
  <c r="B809" i="1"/>
  <c r="A809" i="1"/>
  <c r="G808" i="1"/>
  <c r="F808" i="1"/>
  <c r="E808" i="1"/>
  <c r="D808" i="1"/>
  <c r="B808" i="1"/>
  <c r="A808" i="1"/>
  <c r="G807" i="1"/>
  <c r="F807" i="1"/>
  <c r="E807" i="1"/>
  <c r="D807" i="1"/>
  <c r="B807" i="1"/>
  <c r="A807" i="1"/>
  <c r="G806" i="1"/>
  <c r="F806" i="1"/>
  <c r="E806" i="1"/>
  <c r="D806" i="1"/>
  <c r="B806" i="1"/>
  <c r="A806" i="1"/>
  <c r="G805" i="1"/>
  <c r="F805" i="1"/>
  <c r="E805" i="1"/>
  <c r="D805" i="1"/>
  <c r="B805" i="1"/>
  <c r="A805" i="1"/>
  <c r="G804" i="1"/>
  <c r="F804" i="1"/>
  <c r="E804" i="1"/>
  <c r="D804" i="1"/>
  <c r="B804" i="1"/>
  <c r="A804" i="1"/>
  <c r="G803" i="1"/>
  <c r="F803" i="1"/>
  <c r="E803" i="1"/>
  <c r="D803" i="1"/>
  <c r="B803" i="1"/>
  <c r="A803" i="1"/>
  <c r="G802" i="1"/>
  <c r="F802" i="1"/>
  <c r="E802" i="1"/>
  <c r="D802" i="1"/>
  <c r="B802" i="1"/>
  <c r="A802" i="1"/>
  <c r="G801" i="1"/>
  <c r="F801" i="1"/>
  <c r="E801" i="1"/>
  <c r="D801" i="1"/>
  <c r="B801" i="1"/>
  <c r="A801" i="1"/>
  <c r="G800" i="1"/>
  <c r="F800" i="1"/>
  <c r="E800" i="1"/>
  <c r="D800" i="1"/>
  <c r="B800" i="1"/>
  <c r="A800" i="1"/>
  <c r="G799" i="1"/>
  <c r="F799" i="1"/>
  <c r="E799" i="1"/>
  <c r="D799" i="1"/>
  <c r="B799" i="1"/>
  <c r="A799" i="1"/>
  <c r="G798" i="1"/>
  <c r="F798" i="1"/>
  <c r="E798" i="1"/>
  <c r="D798" i="1"/>
  <c r="B798" i="1"/>
  <c r="A798" i="1"/>
  <c r="G797" i="1"/>
  <c r="F797" i="1"/>
  <c r="E797" i="1"/>
  <c r="D797" i="1"/>
  <c r="B797" i="1"/>
  <c r="A797" i="1"/>
  <c r="G796" i="1"/>
  <c r="F796" i="1"/>
  <c r="E796" i="1"/>
  <c r="D796" i="1"/>
  <c r="B796" i="1"/>
  <c r="A796" i="1"/>
  <c r="G795" i="1"/>
  <c r="F795" i="1"/>
  <c r="E795" i="1"/>
  <c r="D795" i="1"/>
  <c r="B795" i="1"/>
  <c r="A795" i="1"/>
  <c r="G794" i="1"/>
  <c r="F794" i="1"/>
  <c r="E794" i="1"/>
  <c r="D794" i="1"/>
  <c r="B794" i="1"/>
  <c r="A794" i="1"/>
  <c r="G793" i="1"/>
  <c r="F793" i="1"/>
  <c r="E793" i="1"/>
  <c r="D793" i="1"/>
  <c r="B793" i="1"/>
  <c r="A793" i="1"/>
  <c r="G792" i="1"/>
  <c r="F792" i="1"/>
  <c r="E792" i="1"/>
  <c r="D792" i="1"/>
  <c r="B792" i="1"/>
  <c r="A792" i="1"/>
  <c r="G791" i="1"/>
  <c r="F791" i="1"/>
  <c r="E791" i="1"/>
  <c r="D791" i="1"/>
  <c r="B791" i="1"/>
  <c r="A791" i="1"/>
  <c r="G790" i="1"/>
  <c r="F790" i="1"/>
  <c r="E790" i="1"/>
  <c r="D790" i="1"/>
  <c r="B790" i="1"/>
  <c r="A790" i="1"/>
  <c r="G789" i="1"/>
  <c r="F789" i="1"/>
  <c r="E789" i="1"/>
  <c r="D789" i="1"/>
  <c r="B789" i="1"/>
  <c r="A789" i="1"/>
  <c r="G788" i="1"/>
  <c r="F788" i="1"/>
  <c r="E788" i="1"/>
  <c r="D788" i="1"/>
  <c r="B788" i="1"/>
  <c r="A788" i="1"/>
  <c r="G787" i="1"/>
  <c r="F787" i="1"/>
  <c r="E787" i="1"/>
  <c r="D787" i="1"/>
  <c r="B787" i="1"/>
  <c r="A787" i="1"/>
  <c r="G786" i="1"/>
  <c r="F786" i="1"/>
  <c r="E786" i="1"/>
  <c r="D786" i="1"/>
  <c r="B786" i="1"/>
  <c r="A786" i="1"/>
  <c r="G785" i="1"/>
  <c r="F785" i="1"/>
  <c r="E785" i="1"/>
  <c r="D785" i="1"/>
  <c r="B785" i="1"/>
  <c r="A785" i="1"/>
  <c r="G784" i="1"/>
  <c r="F784" i="1"/>
  <c r="E784" i="1"/>
  <c r="D784" i="1"/>
  <c r="B784" i="1"/>
  <c r="A784" i="1"/>
  <c r="G783" i="1"/>
  <c r="F783" i="1"/>
  <c r="E783" i="1"/>
  <c r="D783" i="1"/>
  <c r="B783" i="1"/>
  <c r="A783" i="1"/>
  <c r="G782" i="1"/>
  <c r="F782" i="1"/>
  <c r="E782" i="1"/>
  <c r="D782" i="1"/>
  <c r="B782" i="1"/>
  <c r="A782" i="1"/>
  <c r="G781" i="1"/>
  <c r="F781" i="1"/>
  <c r="E781" i="1"/>
  <c r="D781" i="1"/>
  <c r="B781" i="1"/>
  <c r="A781" i="1"/>
  <c r="G780" i="1"/>
  <c r="F780" i="1"/>
  <c r="E780" i="1"/>
  <c r="D780" i="1"/>
  <c r="B780" i="1"/>
  <c r="A780" i="1"/>
  <c r="G779" i="1"/>
  <c r="F779" i="1"/>
  <c r="E779" i="1"/>
  <c r="D779" i="1"/>
  <c r="B779" i="1"/>
  <c r="A779" i="1"/>
  <c r="G778" i="1"/>
  <c r="F778" i="1"/>
  <c r="E778" i="1"/>
  <c r="D778" i="1"/>
  <c r="B778" i="1"/>
  <c r="A778" i="1"/>
  <c r="G777" i="1"/>
  <c r="F777" i="1"/>
  <c r="E777" i="1"/>
  <c r="D777" i="1"/>
  <c r="B777" i="1"/>
  <c r="A777" i="1"/>
  <c r="G776" i="1"/>
  <c r="F776" i="1"/>
  <c r="E776" i="1"/>
  <c r="D776" i="1"/>
  <c r="B776" i="1"/>
  <c r="A776" i="1"/>
  <c r="G775" i="1"/>
  <c r="F775" i="1"/>
  <c r="E775" i="1"/>
  <c r="D775" i="1"/>
  <c r="B775" i="1"/>
  <c r="A775" i="1"/>
  <c r="G774" i="1"/>
  <c r="F774" i="1"/>
  <c r="E774" i="1"/>
  <c r="D774" i="1"/>
  <c r="B774" i="1"/>
  <c r="A774" i="1"/>
  <c r="G773" i="1"/>
  <c r="F773" i="1"/>
  <c r="E773" i="1"/>
  <c r="D773" i="1"/>
  <c r="B773" i="1"/>
  <c r="A773" i="1"/>
  <c r="G772" i="1"/>
  <c r="F772" i="1"/>
  <c r="E772" i="1"/>
  <c r="D772" i="1"/>
  <c r="B772" i="1"/>
  <c r="A772" i="1"/>
  <c r="G771" i="1"/>
  <c r="F771" i="1"/>
  <c r="E771" i="1"/>
  <c r="D771" i="1"/>
  <c r="B771" i="1"/>
  <c r="A771" i="1"/>
  <c r="G770" i="1"/>
  <c r="F770" i="1"/>
  <c r="E770" i="1"/>
  <c r="D770" i="1"/>
  <c r="B770" i="1"/>
  <c r="A770" i="1"/>
  <c r="G769" i="1"/>
  <c r="F769" i="1"/>
  <c r="E769" i="1"/>
  <c r="D769" i="1"/>
  <c r="B769" i="1"/>
  <c r="A769" i="1"/>
  <c r="G768" i="1"/>
  <c r="F768" i="1"/>
  <c r="E768" i="1"/>
  <c r="D768" i="1"/>
  <c r="B768" i="1"/>
  <c r="A768" i="1"/>
  <c r="G767" i="1"/>
  <c r="F767" i="1"/>
  <c r="E767" i="1"/>
  <c r="D767" i="1"/>
  <c r="B767" i="1"/>
  <c r="A767" i="1"/>
  <c r="G766" i="1"/>
  <c r="F766" i="1"/>
  <c r="E766" i="1"/>
  <c r="D766" i="1"/>
  <c r="B766" i="1"/>
  <c r="A766" i="1"/>
  <c r="G765" i="1"/>
  <c r="F765" i="1"/>
  <c r="E765" i="1"/>
  <c r="D765" i="1"/>
  <c r="B765" i="1"/>
  <c r="A765" i="1"/>
  <c r="G764" i="1"/>
  <c r="F764" i="1"/>
  <c r="E764" i="1"/>
  <c r="D764" i="1"/>
  <c r="B764" i="1"/>
  <c r="A764" i="1"/>
  <c r="G763" i="1"/>
  <c r="F763" i="1"/>
  <c r="E763" i="1"/>
  <c r="D763" i="1"/>
  <c r="B763" i="1"/>
  <c r="A763" i="1"/>
  <c r="G762" i="1"/>
  <c r="F762" i="1"/>
  <c r="E762" i="1"/>
  <c r="D762" i="1"/>
  <c r="B762" i="1"/>
  <c r="A762" i="1"/>
  <c r="G761" i="1"/>
  <c r="F761" i="1"/>
  <c r="E761" i="1"/>
  <c r="D761" i="1"/>
  <c r="B761" i="1"/>
  <c r="A761" i="1"/>
  <c r="G760" i="1"/>
  <c r="F760" i="1"/>
  <c r="E760" i="1"/>
  <c r="D760" i="1"/>
  <c r="B760" i="1"/>
  <c r="A760" i="1"/>
  <c r="G759" i="1"/>
  <c r="F759" i="1"/>
  <c r="E759" i="1"/>
  <c r="D759" i="1"/>
  <c r="B759" i="1"/>
  <c r="A759" i="1"/>
  <c r="G758" i="1"/>
  <c r="F758" i="1"/>
  <c r="E758" i="1"/>
  <c r="D758" i="1"/>
  <c r="B758" i="1"/>
  <c r="A758" i="1"/>
  <c r="G757" i="1"/>
  <c r="F757" i="1"/>
  <c r="E757" i="1"/>
  <c r="D757" i="1"/>
  <c r="B757" i="1"/>
  <c r="A757" i="1"/>
  <c r="G756" i="1"/>
  <c r="F756" i="1"/>
  <c r="E756" i="1"/>
  <c r="D756" i="1"/>
  <c r="B756" i="1"/>
  <c r="A756" i="1"/>
  <c r="G755" i="1"/>
  <c r="F755" i="1"/>
  <c r="E755" i="1"/>
  <c r="D755" i="1"/>
  <c r="B755" i="1"/>
  <c r="A755" i="1"/>
  <c r="G754" i="1"/>
  <c r="F754" i="1"/>
  <c r="E754" i="1"/>
  <c r="D754" i="1"/>
  <c r="B754" i="1"/>
  <c r="A754" i="1"/>
  <c r="G753" i="1"/>
  <c r="F753" i="1"/>
  <c r="E753" i="1"/>
  <c r="D753" i="1"/>
  <c r="B753" i="1"/>
  <c r="A753" i="1"/>
  <c r="G752" i="1"/>
  <c r="F752" i="1"/>
  <c r="E752" i="1"/>
  <c r="D752" i="1"/>
  <c r="B752" i="1"/>
  <c r="A752" i="1"/>
  <c r="G751" i="1"/>
  <c r="F751" i="1"/>
  <c r="E751" i="1"/>
  <c r="D751" i="1"/>
  <c r="B751" i="1"/>
  <c r="A751" i="1"/>
  <c r="G750" i="1"/>
  <c r="F750" i="1"/>
  <c r="E750" i="1"/>
  <c r="D750" i="1"/>
  <c r="B750" i="1"/>
  <c r="A750" i="1"/>
  <c r="G749" i="1"/>
  <c r="F749" i="1"/>
  <c r="E749" i="1"/>
  <c r="D749" i="1"/>
  <c r="B749" i="1"/>
  <c r="A749" i="1"/>
  <c r="G748" i="1"/>
  <c r="F748" i="1"/>
  <c r="E748" i="1"/>
  <c r="D748" i="1"/>
  <c r="B748" i="1"/>
  <c r="A748" i="1"/>
  <c r="G747" i="1"/>
  <c r="F747" i="1"/>
  <c r="E747" i="1"/>
  <c r="D747" i="1"/>
  <c r="B747" i="1"/>
  <c r="A747" i="1"/>
  <c r="G746" i="1"/>
  <c r="F746" i="1"/>
  <c r="E746" i="1"/>
  <c r="D746" i="1"/>
  <c r="B746" i="1"/>
  <c r="A746" i="1"/>
  <c r="G745" i="1"/>
  <c r="F745" i="1"/>
  <c r="E745" i="1"/>
  <c r="D745" i="1"/>
  <c r="B745" i="1"/>
  <c r="A745" i="1"/>
  <c r="G744" i="1"/>
  <c r="F744" i="1"/>
  <c r="E744" i="1"/>
  <c r="D744" i="1"/>
  <c r="B744" i="1"/>
  <c r="A744" i="1"/>
  <c r="G743" i="1"/>
  <c r="F743" i="1"/>
  <c r="E743" i="1"/>
  <c r="D743" i="1"/>
  <c r="B743" i="1"/>
  <c r="A743" i="1"/>
  <c r="G742" i="1"/>
  <c r="F742" i="1"/>
  <c r="E742" i="1"/>
  <c r="D742" i="1"/>
  <c r="B742" i="1"/>
  <c r="A742" i="1"/>
  <c r="G741" i="1"/>
  <c r="F741" i="1"/>
  <c r="E741" i="1"/>
  <c r="D741" i="1"/>
  <c r="B741" i="1"/>
  <c r="A741" i="1"/>
  <c r="G740" i="1"/>
  <c r="F740" i="1"/>
  <c r="E740" i="1"/>
  <c r="D740" i="1"/>
  <c r="B740" i="1"/>
  <c r="A740" i="1"/>
  <c r="G739" i="1"/>
  <c r="F739" i="1"/>
  <c r="E739" i="1"/>
  <c r="D739" i="1"/>
  <c r="B739" i="1"/>
  <c r="A739" i="1"/>
  <c r="G738" i="1"/>
  <c r="F738" i="1"/>
  <c r="E738" i="1"/>
  <c r="D738" i="1"/>
  <c r="B738" i="1"/>
  <c r="A738" i="1"/>
  <c r="G737" i="1"/>
  <c r="F737" i="1"/>
  <c r="E737" i="1"/>
  <c r="D737" i="1"/>
  <c r="B737" i="1"/>
  <c r="A737" i="1"/>
  <c r="G736" i="1"/>
  <c r="F736" i="1"/>
  <c r="E736" i="1"/>
  <c r="D736" i="1"/>
  <c r="B736" i="1"/>
  <c r="A736" i="1"/>
  <c r="G735" i="1"/>
  <c r="F735" i="1"/>
  <c r="E735" i="1"/>
  <c r="D735" i="1"/>
  <c r="B735" i="1"/>
  <c r="A735" i="1"/>
  <c r="G734" i="1"/>
  <c r="F734" i="1"/>
  <c r="E734" i="1"/>
  <c r="D734" i="1"/>
  <c r="B734" i="1"/>
  <c r="A734" i="1"/>
  <c r="G733" i="1"/>
  <c r="F733" i="1"/>
  <c r="E733" i="1"/>
  <c r="D733" i="1"/>
  <c r="B733" i="1"/>
  <c r="A733" i="1"/>
  <c r="G732" i="1"/>
  <c r="F732" i="1"/>
  <c r="E732" i="1"/>
  <c r="D732" i="1"/>
  <c r="B732" i="1"/>
  <c r="A732" i="1"/>
  <c r="G731" i="1"/>
  <c r="F731" i="1"/>
  <c r="E731" i="1"/>
  <c r="D731" i="1"/>
  <c r="B731" i="1"/>
  <c r="A731" i="1"/>
  <c r="G730" i="1"/>
  <c r="F730" i="1"/>
  <c r="E730" i="1"/>
  <c r="D730" i="1"/>
  <c r="B730" i="1"/>
  <c r="A730" i="1"/>
  <c r="G729" i="1"/>
  <c r="F729" i="1"/>
  <c r="E729" i="1"/>
  <c r="D729" i="1"/>
  <c r="B729" i="1"/>
  <c r="A729" i="1"/>
  <c r="G728" i="1"/>
  <c r="F728" i="1"/>
  <c r="E728" i="1"/>
  <c r="D728" i="1"/>
  <c r="B728" i="1"/>
  <c r="A728" i="1"/>
  <c r="G727" i="1"/>
  <c r="F727" i="1"/>
  <c r="E727" i="1"/>
  <c r="D727" i="1"/>
  <c r="B727" i="1"/>
  <c r="A727" i="1"/>
  <c r="G726" i="1"/>
  <c r="F726" i="1"/>
  <c r="E726" i="1"/>
  <c r="D726" i="1"/>
  <c r="B726" i="1"/>
  <c r="A726" i="1"/>
  <c r="G725" i="1"/>
  <c r="F725" i="1"/>
  <c r="E725" i="1"/>
  <c r="D725" i="1"/>
  <c r="B725" i="1"/>
  <c r="A725" i="1"/>
  <c r="G724" i="1"/>
  <c r="F724" i="1"/>
  <c r="E724" i="1"/>
  <c r="D724" i="1"/>
  <c r="B724" i="1"/>
  <c r="A724" i="1"/>
  <c r="G723" i="1"/>
  <c r="F723" i="1"/>
  <c r="E723" i="1"/>
  <c r="D723" i="1"/>
  <c r="B723" i="1"/>
  <c r="A723" i="1"/>
  <c r="G722" i="1"/>
  <c r="F722" i="1"/>
  <c r="E722" i="1"/>
  <c r="D722" i="1"/>
  <c r="B722" i="1"/>
  <c r="A722" i="1"/>
  <c r="G721" i="1"/>
  <c r="F721" i="1"/>
  <c r="E721" i="1"/>
  <c r="D721" i="1"/>
  <c r="B721" i="1"/>
  <c r="A721" i="1"/>
  <c r="G720" i="1"/>
  <c r="F720" i="1"/>
  <c r="E720" i="1"/>
  <c r="D720" i="1"/>
  <c r="B720" i="1"/>
  <c r="A720" i="1"/>
  <c r="G719" i="1"/>
  <c r="F719" i="1"/>
  <c r="E719" i="1"/>
  <c r="D719" i="1"/>
  <c r="B719" i="1"/>
  <c r="A719" i="1"/>
  <c r="G718" i="1"/>
  <c r="F718" i="1"/>
  <c r="E718" i="1"/>
  <c r="D718" i="1"/>
  <c r="B718" i="1"/>
  <c r="A718" i="1"/>
  <c r="G717" i="1"/>
  <c r="F717" i="1"/>
  <c r="E717" i="1"/>
  <c r="D717" i="1"/>
  <c r="B717" i="1"/>
  <c r="A717" i="1"/>
  <c r="G716" i="1"/>
  <c r="F716" i="1"/>
  <c r="E716" i="1"/>
  <c r="D716" i="1"/>
  <c r="B716" i="1"/>
  <c r="A716" i="1"/>
  <c r="G715" i="1"/>
  <c r="F715" i="1"/>
  <c r="E715" i="1"/>
  <c r="D715" i="1"/>
  <c r="B715" i="1"/>
  <c r="A715" i="1"/>
  <c r="G714" i="1"/>
  <c r="F714" i="1"/>
  <c r="E714" i="1"/>
  <c r="D714" i="1"/>
  <c r="B714" i="1"/>
  <c r="A714" i="1"/>
  <c r="G713" i="1"/>
  <c r="F713" i="1"/>
  <c r="E713" i="1"/>
  <c r="D713" i="1"/>
  <c r="B713" i="1"/>
  <c r="A713" i="1"/>
  <c r="G712" i="1"/>
  <c r="F712" i="1"/>
  <c r="E712" i="1"/>
  <c r="D712" i="1"/>
  <c r="B712" i="1"/>
  <c r="A712" i="1"/>
  <c r="G711" i="1"/>
  <c r="F711" i="1"/>
  <c r="E711" i="1"/>
  <c r="D711" i="1"/>
  <c r="B711" i="1"/>
  <c r="A711" i="1"/>
  <c r="G710" i="1"/>
  <c r="F710" i="1"/>
  <c r="E710" i="1"/>
  <c r="D710" i="1"/>
  <c r="B710" i="1"/>
  <c r="A710" i="1"/>
  <c r="G709" i="1"/>
  <c r="F709" i="1"/>
  <c r="E709" i="1"/>
  <c r="D709" i="1"/>
  <c r="B709" i="1"/>
  <c r="A709" i="1"/>
  <c r="G708" i="1"/>
  <c r="F708" i="1"/>
  <c r="E708" i="1"/>
  <c r="D708" i="1"/>
  <c r="B708" i="1"/>
  <c r="A708" i="1"/>
  <c r="G707" i="1"/>
  <c r="F707" i="1"/>
  <c r="E707" i="1"/>
  <c r="D707" i="1"/>
  <c r="B707" i="1"/>
  <c r="A707" i="1"/>
  <c r="G706" i="1"/>
  <c r="F706" i="1"/>
  <c r="E706" i="1"/>
  <c r="D706" i="1"/>
  <c r="B706" i="1"/>
  <c r="A706" i="1"/>
  <c r="G705" i="1"/>
  <c r="F705" i="1"/>
  <c r="E705" i="1"/>
  <c r="D705" i="1"/>
  <c r="B705" i="1"/>
  <c r="A705" i="1"/>
  <c r="G704" i="1"/>
  <c r="F704" i="1"/>
  <c r="E704" i="1"/>
  <c r="D704" i="1"/>
  <c r="B704" i="1"/>
  <c r="A704" i="1"/>
  <c r="G703" i="1"/>
  <c r="F703" i="1"/>
  <c r="E703" i="1"/>
  <c r="D703" i="1"/>
  <c r="B703" i="1"/>
  <c r="A703" i="1"/>
  <c r="G702" i="1"/>
  <c r="F702" i="1"/>
  <c r="E702" i="1"/>
  <c r="D702" i="1"/>
  <c r="B702" i="1"/>
  <c r="A702" i="1"/>
  <c r="G701" i="1"/>
  <c r="F701" i="1"/>
  <c r="E701" i="1"/>
  <c r="D701" i="1"/>
  <c r="B701" i="1"/>
  <c r="A701" i="1"/>
  <c r="G700" i="1"/>
  <c r="F700" i="1"/>
  <c r="E700" i="1"/>
  <c r="D700" i="1"/>
  <c r="B700" i="1"/>
  <c r="A700" i="1"/>
  <c r="G699" i="1"/>
  <c r="F699" i="1"/>
  <c r="E699" i="1"/>
  <c r="D699" i="1"/>
  <c r="B699" i="1"/>
  <c r="A699" i="1"/>
  <c r="G698" i="1"/>
  <c r="F698" i="1"/>
  <c r="E698" i="1"/>
  <c r="D698" i="1"/>
  <c r="B698" i="1"/>
  <c r="A698" i="1"/>
  <c r="G697" i="1"/>
  <c r="F697" i="1"/>
  <c r="E697" i="1"/>
  <c r="D697" i="1"/>
  <c r="B697" i="1"/>
  <c r="A697" i="1"/>
  <c r="G696" i="1"/>
  <c r="F696" i="1"/>
  <c r="E696" i="1"/>
  <c r="D696" i="1"/>
  <c r="B696" i="1"/>
  <c r="A696" i="1"/>
  <c r="G695" i="1"/>
  <c r="F695" i="1"/>
  <c r="E695" i="1"/>
  <c r="D695" i="1"/>
  <c r="B695" i="1"/>
  <c r="A695" i="1"/>
  <c r="G694" i="1"/>
  <c r="F694" i="1"/>
  <c r="E694" i="1"/>
  <c r="D694" i="1"/>
  <c r="B694" i="1"/>
  <c r="A694" i="1"/>
  <c r="G693" i="1"/>
  <c r="F693" i="1"/>
  <c r="E693" i="1"/>
  <c r="D693" i="1"/>
  <c r="B693" i="1"/>
  <c r="A693" i="1"/>
  <c r="G692" i="1"/>
  <c r="F692" i="1"/>
  <c r="E692" i="1"/>
  <c r="D692" i="1"/>
  <c r="B692" i="1"/>
  <c r="A692" i="1"/>
  <c r="G691" i="1"/>
  <c r="F691" i="1"/>
  <c r="E691" i="1"/>
  <c r="D691" i="1"/>
  <c r="B691" i="1"/>
  <c r="A691" i="1"/>
  <c r="G690" i="1"/>
  <c r="F690" i="1"/>
  <c r="E690" i="1"/>
  <c r="D690" i="1"/>
  <c r="B690" i="1"/>
  <c r="A690" i="1"/>
  <c r="G689" i="1"/>
  <c r="F689" i="1"/>
  <c r="E689" i="1"/>
  <c r="D689" i="1"/>
  <c r="B689" i="1"/>
  <c r="A689" i="1"/>
  <c r="G688" i="1"/>
  <c r="F688" i="1"/>
  <c r="E688" i="1"/>
  <c r="D688" i="1"/>
  <c r="B688" i="1"/>
  <c r="A688" i="1"/>
  <c r="G687" i="1"/>
  <c r="F687" i="1"/>
  <c r="E687" i="1"/>
  <c r="D687" i="1"/>
  <c r="B687" i="1"/>
  <c r="A687" i="1"/>
  <c r="G686" i="1"/>
  <c r="F686" i="1"/>
  <c r="E686" i="1"/>
  <c r="D686" i="1"/>
  <c r="B686" i="1"/>
  <c r="A686" i="1"/>
  <c r="G685" i="1"/>
  <c r="F685" i="1"/>
  <c r="E685" i="1"/>
  <c r="D685" i="1"/>
  <c r="B685" i="1"/>
  <c r="A685" i="1"/>
  <c r="G684" i="1"/>
  <c r="F684" i="1"/>
  <c r="E684" i="1"/>
  <c r="D684" i="1"/>
  <c r="B684" i="1"/>
  <c r="A684" i="1"/>
  <c r="G683" i="1"/>
  <c r="F683" i="1"/>
  <c r="E683" i="1"/>
  <c r="D683" i="1"/>
  <c r="B683" i="1"/>
  <c r="A683" i="1"/>
  <c r="G682" i="1"/>
  <c r="F682" i="1"/>
  <c r="E682" i="1"/>
  <c r="D682" i="1"/>
  <c r="B682" i="1"/>
  <c r="A682" i="1"/>
  <c r="G681" i="1"/>
  <c r="F681" i="1"/>
  <c r="E681" i="1"/>
  <c r="D681" i="1"/>
  <c r="B681" i="1"/>
  <c r="A681" i="1"/>
  <c r="G680" i="1"/>
  <c r="F680" i="1"/>
  <c r="E680" i="1"/>
  <c r="D680" i="1"/>
  <c r="B680" i="1"/>
  <c r="A680" i="1"/>
  <c r="G679" i="1"/>
  <c r="F679" i="1"/>
  <c r="E679" i="1"/>
  <c r="D679" i="1"/>
  <c r="B679" i="1"/>
  <c r="A679" i="1"/>
  <c r="G678" i="1"/>
  <c r="F678" i="1"/>
  <c r="E678" i="1"/>
  <c r="D678" i="1"/>
  <c r="B678" i="1"/>
  <c r="A678" i="1"/>
  <c r="G677" i="1"/>
  <c r="F677" i="1"/>
  <c r="E677" i="1"/>
  <c r="D677" i="1"/>
  <c r="B677" i="1"/>
  <c r="A677" i="1"/>
  <c r="G676" i="1"/>
  <c r="F676" i="1"/>
  <c r="E676" i="1"/>
  <c r="D676" i="1"/>
  <c r="B676" i="1"/>
  <c r="A676" i="1"/>
  <c r="G675" i="1"/>
  <c r="F675" i="1"/>
  <c r="E675" i="1"/>
  <c r="D675" i="1"/>
  <c r="B675" i="1"/>
  <c r="A675" i="1"/>
  <c r="G674" i="1"/>
  <c r="F674" i="1"/>
  <c r="E674" i="1"/>
  <c r="D674" i="1"/>
  <c r="B674" i="1"/>
  <c r="A674" i="1"/>
  <c r="G673" i="1"/>
  <c r="F673" i="1"/>
  <c r="E673" i="1"/>
  <c r="D673" i="1"/>
  <c r="B673" i="1"/>
  <c r="A673" i="1"/>
  <c r="G672" i="1"/>
  <c r="F672" i="1"/>
  <c r="E672" i="1"/>
  <c r="D672" i="1"/>
  <c r="B672" i="1"/>
  <c r="A672" i="1"/>
  <c r="G671" i="1"/>
  <c r="F671" i="1"/>
  <c r="E671" i="1"/>
  <c r="D671" i="1"/>
  <c r="B671" i="1"/>
  <c r="A671" i="1"/>
  <c r="G670" i="1"/>
  <c r="F670" i="1"/>
  <c r="E670" i="1"/>
  <c r="D670" i="1"/>
  <c r="B670" i="1"/>
  <c r="A670" i="1"/>
  <c r="G669" i="1"/>
  <c r="F669" i="1"/>
  <c r="E669" i="1"/>
  <c r="D669" i="1"/>
  <c r="B669" i="1"/>
  <c r="A669" i="1"/>
  <c r="G668" i="1"/>
  <c r="F668" i="1"/>
  <c r="E668" i="1"/>
  <c r="D668" i="1"/>
  <c r="B668" i="1"/>
  <c r="A668" i="1"/>
  <c r="G667" i="1"/>
  <c r="F667" i="1"/>
  <c r="E667" i="1"/>
  <c r="D667" i="1"/>
  <c r="B667" i="1"/>
  <c r="A667" i="1"/>
  <c r="G666" i="1"/>
  <c r="F666" i="1"/>
  <c r="E666" i="1"/>
  <c r="D666" i="1"/>
  <c r="B666" i="1"/>
  <c r="A666" i="1"/>
  <c r="G665" i="1"/>
  <c r="F665" i="1"/>
  <c r="E665" i="1"/>
  <c r="D665" i="1"/>
  <c r="B665" i="1"/>
  <c r="A665" i="1"/>
  <c r="G664" i="1"/>
  <c r="F664" i="1"/>
  <c r="E664" i="1"/>
  <c r="D664" i="1"/>
  <c r="B664" i="1"/>
  <c r="A664" i="1"/>
  <c r="G663" i="1"/>
  <c r="F663" i="1"/>
  <c r="E663" i="1"/>
  <c r="D663" i="1"/>
  <c r="B663" i="1"/>
  <c r="A663" i="1"/>
  <c r="G662" i="1"/>
  <c r="F662" i="1"/>
  <c r="E662" i="1"/>
  <c r="D662" i="1"/>
  <c r="B662" i="1"/>
  <c r="A662" i="1"/>
  <c r="G661" i="1"/>
  <c r="F661" i="1"/>
  <c r="E661" i="1"/>
  <c r="D661" i="1"/>
  <c r="B661" i="1"/>
  <c r="A661" i="1"/>
  <c r="G660" i="1"/>
  <c r="F660" i="1"/>
  <c r="E660" i="1"/>
  <c r="D660" i="1"/>
  <c r="B660" i="1"/>
  <c r="A660" i="1"/>
  <c r="G659" i="1"/>
  <c r="F659" i="1"/>
  <c r="E659" i="1"/>
  <c r="D659" i="1"/>
  <c r="B659" i="1"/>
  <c r="A659" i="1"/>
  <c r="G658" i="1"/>
  <c r="F658" i="1"/>
  <c r="E658" i="1"/>
  <c r="D658" i="1"/>
  <c r="B658" i="1"/>
  <c r="A658" i="1"/>
  <c r="G657" i="1"/>
  <c r="F657" i="1"/>
  <c r="E657" i="1"/>
  <c r="D657" i="1"/>
  <c r="B657" i="1"/>
  <c r="A657" i="1"/>
  <c r="G656" i="1"/>
  <c r="F656" i="1"/>
  <c r="E656" i="1"/>
  <c r="D656" i="1"/>
  <c r="B656" i="1"/>
  <c r="A656" i="1"/>
  <c r="G655" i="1"/>
  <c r="F655" i="1"/>
  <c r="E655" i="1"/>
  <c r="D655" i="1"/>
  <c r="B655" i="1"/>
  <c r="A655" i="1"/>
  <c r="G654" i="1"/>
  <c r="F654" i="1"/>
  <c r="E654" i="1"/>
  <c r="D654" i="1"/>
  <c r="B654" i="1"/>
  <c r="A654" i="1"/>
  <c r="G653" i="1"/>
  <c r="F653" i="1"/>
  <c r="E653" i="1"/>
  <c r="D653" i="1"/>
  <c r="B653" i="1"/>
  <c r="A653" i="1"/>
  <c r="G652" i="1"/>
  <c r="F652" i="1"/>
  <c r="E652" i="1"/>
  <c r="D652" i="1"/>
  <c r="B652" i="1"/>
  <c r="A652" i="1"/>
  <c r="G651" i="1"/>
  <c r="F651" i="1"/>
  <c r="E651" i="1"/>
  <c r="D651" i="1"/>
  <c r="B651" i="1"/>
  <c r="A651" i="1"/>
  <c r="G650" i="1"/>
  <c r="F650" i="1"/>
  <c r="E650" i="1"/>
  <c r="D650" i="1"/>
  <c r="B650" i="1"/>
  <c r="A650" i="1"/>
  <c r="G649" i="1"/>
  <c r="F649" i="1"/>
  <c r="E649" i="1"/>
  <c r="D649" i="1"/>
  <c r="B649" i="1"/>
  <c r="A649" i="1"/>
  <c r="G648" i="1"/>
  <c r="F648" i="1"/>
  <c r="E648" i="1"/>
  <c r="D648" i="1"/>
  <c r="B648" i="1"/>
  <c r="A648" i="1"/>
  <c r="G647" i="1"/>
  <c r="F647" i="1"/>
  <c r="E647" i="1"/>
  <c r="D647" i="1"/>
  <c r="B647" i="1"/>
  <c r="A647" i="1"/>
  <c r="G646" i="1"/>
  <c r="F646" i="1"/>
  <c r="E646" i="1"/>
  <c r="D646" i="1"/>
  <c r="B646" i="1"/>
  <c r="A646" i="1"/>
  <c r="G645" i="1"/>
  <c r="F645" i="1"/>
  <c r="E645" i="1"/>
  <c r="D645" i="1"/>
  <c r="B645" i="1"/>
  <c r="A645" i="1"/>
  <c r="G644" i="1"/>
  <c r="F644" i="1"/>
  <c r="E644" i="1"/>
  <c r="D644" i="1"/>
  <c r="B644" i="1"/>
  <c r="A644" i="1"/>
  <c r="G643" i="1"/>
  <c r="F643" i="1"/>
  <c r="E643" i="1"/>
  <c r="D643" i="1"/>
  <c r="B643" i="1"/>
  <c r="A643" i="1"/>
  <c r="G642" i="1"/>
  <c r="F642" i="1"/>
  <c r="E642" i="1"/>
  <c r="D642" i="1"/>
  <c r="B642" i="1"/>
  <c r="A642" i="1"/>
  <c r="G641" i="1"/>
  <c r="F641" i="1"/>
  <c r="E641" i="1"/>
  <c r="D641" i="1"/>
  <c r="B641" i="1"/>
  <c r="A641" i="1"/>
  <c r="G640" i="1"/>
  <c r="F640" i="1"/>
  <c r="E640" i="1"/>
  <c r="D640" i="1"/>
  <c r="B640" i="1"/>
  <c r="A640" i="1"/>
  <c r="G639" i="1"/>
  <c r="F639" i="1"/>
  <c r="E639" i="1"/>
  <c r="D639" i="1"/>
  <c r="B639" i="1"/>
  <c r="A639" i="1"/>
  <c r="G638" i="1"/>
  <c r="F638" i="1"/>
  <c r="E638" i="1"/>
  <c r="D638" i="1"/>
  <c r="B638" i="1"/>
  <c r="A638" i="1"/>
  <c r="G637" i="1"/>
  <c r="F637" i="1"/>
  <c r="E637" i="1"/>
  <c r="D637" i="1"/>
  <c r="B637" i="1"/>
  <c r="A637" i="1"/>
  <c r="G636" i="1"/>
  <c r="F636" i="1"/>
  <c r="E636" i="1"/>
  <c r="D636" i="1"/>
  <c r="B636" i="1"/>
  <c r="A636" i="1"/>
  <c r="G635" i="1"/>
  <c r="F635" i="1"/>
  <c r="E635" i="1"/>
  <c r="D635" i="1"/>
  <c r="B635" i="1"/>
  <c r="A635" i="1"/>
  <c r="G634" i="1"/>
  <c r="F634" i="1"/>
  <c r="E634" i="1"/>
  <c r="D634" i="1"/>
  <c r="B634" i="1"/>
  <c r="A634" i="1"/>
  <c r="G633" i="1"/>
  <c r="F633" i="1"/>
  <c r="E633" i="1"/>
  <c r="D633" i="1"/>
  <c r="B633" i="1"/>
  <c r="A633" i="1"/>
  <c r="G632" i="1"/>
  <c r="F632" i="1"/>
  <c r="E632" i="1"/>
  <c r="D632" i="1"/>
  <c r="B632" i="1"/>
  <c r="A632" i="1"/>
  <c r="G631" i="1"/>
  <c r="F631" i="1"/>
  <c r="E631" i="1"/>
  <c r="D631" i="1"/>
  <c r="B631" i="1"/>
  <c r="A631" i="1"/>
  <c r="G630" i="1"/>
  <c r="F630" i="1"/>
  <c r="E630" i="1"/>
  <c r="D630" i="1"/>
  <c r="B630" i="1"/>
  <c r="A630" i="1"/>
  <c r="G629" i="1"/>
  <c r="F629" i="1"/>
  <c r="E629" i="1"/>
  <c r="D629" i="1"/>
  <c r="B629" i="1"/>
  <c r="A629" i="1"/>
  <c r="G628" i="1"/>
  <c r="F628" i="1"/>
  <c r="E628" i="1"/>
  <c r="D628" i="1"/>
  <c r="B628" i="1"/>
  <c r="A628" i="1"/>
  <c r="G627" i="1"/>
  <c r="F627" i="1"/>
  <c r="E627" i="1"/>
  <c r="D627" i="1"/>
  <c r="B627" i="1"/>
  <c r="A627" i="1"/>
  <c r="G626" i="1"/>
  <c r="F626" i="1"/>
  <c r="E626" i="1"/>
  <c r="D626" i="1"/>
  <c r="B626" i="1"/>
  <c r="A626" i="1"/>
  <c r="G625" i="1"/>
  <c r="F625" i="1"/>
  <c r="E625" i="1"/>
  <c r="D625" i="1"/>
  <c r="B625" i="1"/>
  <c r="A625" i="1"/>
  <c r="G624" i="1"/>
  <c r="F624" i="1"/>
  <c r="E624" i="1"/>
  <c r="D624" i="1"/>
  <c r="B624" i="1"/>
  <c r="A624" i="1"/>
  <c r="G623" i="1"/>
  <c r="F623" i="1"/>
  <c r="E623" i="1"/>
  <c r="D623" i="1"/>
  <c r="B623" i="1"/>
  <c r="A623" i="1"/>
  <c r="G622" i="1"/>
  <c r="F622" i="1"/>
  <c r="E622" i="1"/>
  <c r="D622" i="1"/>
  <c r="B622" i="1"/>
  <c r="A622" i="1"/>
  <c r="G621" i="1"/>
  <c r="F621" i="1"/>
  <c r="E621" i="1"/>
  <c r="D621" i="1"/>
  <c r="B621" i="1"/>
  <c r="A621" i="1"/>
  <c r="G620" i="1"/>
  <c r="F620" i="1"/>
  <c r="E620" i="1"/>
  <c r="D620" i="1"/>
  <c r="B620" i="1"/>
  <c r="A620" i="1"/>
  <c r="G619" i="1"/>
  <c r="F619" i="1"/>
  <c r="E619" i="1"/>
  <c r="D619" i="1"/>
  <c r="B619" i="1"/>
  <c r="A619" i="1"/>
  <c r="G618" i="1"/>
  <c r="F618" i="1"/>
  <c r="E618" i="1"/>
  <c r="D618" i="1"/>
  <c r="B618" i="1"/>
  <c r="A618" i="1"/>
  <c r="G617" i="1"/>
  <c r="F617" i="1"/>
  <c r="E617" i="1"/>
  <c r="D617" i="1"/>
  <c r="B617" i="1"/>
  <c r="A617" i="1"/>
  <c r="G616" i="1"/>
  <c r="F616" i="1"/>
  <c r="E616" i="1"/>
  <c r="D616" i="1"/>
  <c r="B616" i="1"/>
  <c r="A616" i="1"/>
  <c r="G615" i="1"/>
  <c r="F615" i="1"/>
  <c r="E615" i="1"/>
  <c r="D615" i="1"/>
  <c r="B615" i="1"/>
  <c r="A615" i="1"/>
  <c r="G614" i="1"/>
  <c r="F614" i="1"/>
  <c r="E614" i="1"/>
  <c r="D614" i="1"/>
  <c r="B614" i="1"/>
  <c r="A614" i="1"/>
  <c r="G613" i="1"/>
  <c r="F613" i="1"/>
  <c r="E613" i="1"/>
  <c r="D613" i="1"/>
  <c r="B613" i="1"/>
  <c r="A613" i="1"/>
  <c r="G612" i="1"/>
  <c r="F612" i="1"/>
  <c r="E612" i="1"/>
  <c r="D612" i="1"/>
  <c r="B612" i="1"/>
  <c r="A612" i="1"/>
  <c r="G611" i="1"/>
  <c r="F611" i="1"/>
  <c r="E611" i="1"/>
  <c r="D611" i="1"/>
  <c r="B611" i="1"/>
  <c r="A611" i="1"/>
  <c r="G610" i="1"/>
  <c r="F610" i="1"/>
  <c r="E610" i="1"/>
  <c r="D610" i="1"/>
  <c r="B610" i="1"/>
  <c r="A610" i="1"/>
  <c r="G609" i="1"/>
  <c r="F609" i="1"/>
  <c r="E609" i="1"/>
  <c r="D609" i="1"/>
  <c r="B609" i="1"/>
  <c r="A609" i="1"/>
  <c r="G608" i="1"/>
  <c r="F608" i="1"/>
  <c r="E608" i="1"/>
  <c r="D608" i="1"/>
  <c r="B608" i="1"/>
  <c r="A608" i="1"/>
  <c r="G607" i="1"/>
  <c r="F607" i="1"/>
  <c r="E607" i="1"/>
  <c r="D607" i="1"/>
  <c r="B607" i="1"/>
  <c r="A607" i="1"/>
  <c r="G606" i="1"/>
  <c r="F606" i="1"/>
  <c r="E606" i="1"/>
  <c r="D606" i="1"/>
  <c r="B606" i="1"/>
  <c r="A606" i="1"/>
  <c r="G605" i="1"/>
  <c r="F605" i="1"/>
  <c r="E605" i="1"/>
  <c r="D605" i="1"/>
  <c r="B605" i="1"/>
  <c r="A605" i="1"/>
  <c r="G604" i="1"/>
  <c r="F604" i="1"/>
  <c r="E604" i="1"/>
  <c r="D604" i="1"/>
  <c r="B604" i="1"/>
  <c r="A604" i="1"/>
  <c r="G603" i="1"/>
  <c r="F603" i="1"/>
  <c r="E603" i="1"/>
  <c r="D603" i="1"/>
  <c r="B603" i="1"/>
  <c r="A603" i="1"/>
  <c r="G602" i="1"/>
  <c r="F602" i="1"/>
  <c r="E602" i="1"/>
  <c r="D602" i="1"/>
  <c r="B602" i="1"/>
  <c r="A602" i="1"/>
  <c r="G601" i="1"/>
  <c r="F601" i="1"/>
  <c r="E601" i="1"/>
  <c r="D601" i="1"/>
  <c r="B601" i="1"/>
  <c r="A601" i="1"/>
  <c r="G600" i="1"/>
  <c r="F600" i="1"/>
  <c r="E600" i="1"/>
  <c r="D600" i="1"/>
  <c r="B600" i="1"/>
  <c r="A600" i="1"/>
  <c r="G599" i="1"/>
  <c r="F599" i="1"/>
  <c r="E599" i="1"/>
  <c r="D599" i="1"/>
  <c r="B599" i="1"/>
  <c r="A599" i="1"/>
  <c r="G598" i="1"/>
  <c r="F598" i="1"/>
  <c r="E598" i="1"/>
  <c r="D598" i="1"/>
  <c r="B598" i="1"/>
  <c r="A598" i="1"/>
  <c r="G597" i="1"/>
  <c r="F597" i="1"/>
  <c r="E597" i="1"/>
  <c r="D597" i="1"/>
  <c r="B597" i="1"/>
  <c r="A597" i="1"/>
  <c r="G596" i="1"/>
  <c r="F596" i="1"/>
  <c r="E596" i="1"/>
  <c r="D596" i="1"/>
  <c r="B596" i="1"/>
  <c r="A596" i="1"/>
  <c r="G595" i="1"/>
  <c r="F595" i="1"/>
  <c r="E595" i="1"/>
  <c r="D595" i="1"/>
  <c r="B595" i="1"/>
  <c r="A595" i="1"/>
  <c r="G594" i="1"/>
  <c r="F594" i="1"/>
  <c r="E594" i="1"/>
  <c r="D594" i="1"/>
  <c r="B594" i="1"/>
  <c r="A594" i="1"/>
  <c r="G593" i="1"/>
  <c r="F593" i="1"/>
  <c r="E593" i="1"/>
  <c r="D593" i="1"/>
  <c r="B593" i="1"/>
  <c r="A593" i="1"/>
  <c r="G592" i="1"/>
  <c r="F592" i="1"/>
  <c r="E592" i="1"/>
  <c r="D592" i="1"/>
  <c r="B592" i="1"/>
  <c r="A592" i="1"/>
  <c r="G591" i="1"/>
  <c r="F591" i="1"/>
  <c r="E591" i="1"/>
  <c r="D591" i="1"/>
  <c r="B591" i="1"/>
  <c r="A591" i="1"/>
  <c r="G590" i="1"/>
  <c r="F590" i="1"/>
  <c r="E590" i="1"/>
  <c r="D590" i="1"/>
  <c r="B590" i="1"/>
  <c r="A590" i="1"/>
  <c r="G589" i="1"/>
  <c r="F589" i="1"/>
  <c r="E589" i="1"/>
  <c r="D589" i="1"/>
  <c r="B589" i="1"/>
  <c r="A589" i="1"/>
  <c r="G588" i="1"/>
  <c r="F588" i="1"/>
  <c r="E588" i="1"/>
  <c r="D588" i="1"/>
  <c r="B588" i="1"/>
  <c r="A588" i="1"/>
  <c r="G587" i="1"/>
  <c r="F587" i="1"/>
  <c r="E587" i="1"/>
  <c r="D587" i="1"/>
  <c r="B587" i="1"/>
  <c r="A587" i="1"/>
  <c r="G586" i="1"/>
  <c r="F586" i="1"/>
  <c r="E586" i="1"/>
  <c r="D586" i="1"/>
  <c r="B586" i="1"/>
  <c r="A586" i="1"/>
  <c r="G585" i="1"/>
  <c r="F585" i="1"/>
  <c r="E585" i="1"/>
  <c r="D585" i="1"/>
  <c r="B585" i="1"/>
  <c r="A585" i="1"/>
  <c r="G584" i="1"/>
  <c r="F584" i="1"/>
  <c r="E584" i="1"/>
  <c r="D584" i="1"/>
  <c r="B584" i="1"/>
  <c r="A584" i="1"/>
  <c r="G583" i="1"/>
  <c r="F583" i="1"/>
  <c r="E583" i="1"/>
  <c r="D583" i="1"/>
  <c r="B583" i="1"/>
  <c r="A583" i="1"/>
  <c r="G582" i="1"/>
  <c r="F582" i="1"/>
  <c r="E582" i="1"/>
  <c r="D582" i="1"/>
  <c r="B582" i="1"/>
  <c r="A582" i="1"/>
  <c r="G581" i="1"/>
  <c r="F581" i="1"/>
  <c r="E581" i="1"/>
  <c r="D581" i="1"/>
  <c r="B581" i="1"/>
  <c r="A581" i="1"/>
  <c r="G580" i="1"/>
  <c r="F580" i="1"/>
  <c r="E580" i="1"/>
  <c r="D580" i="1"/>
  <c r="B580" i="1"/>
  <c r="A580" i="1"/>
  <c r="G579" i="1"/>
  <c r="F579" i="1"/>
  <c r="E579" i="1"/>
  <c r="D579" i="1"/>
  <c r="B579" i="1"/>
  <c r="A579" i="1"/>
  <c r="G578" i="1"/>
  <c r="F578" i="1"/>
  <c r="E578" i="1"/>
  <c r="D578" i="1"/>
  <c r="B578" i="1"/>
  <c r="A578" i="1"/>
  <c r="G577" i="1"/>
  <c r="F577" i="1"/>
  <c r="E577" i="1"/>
  <c r="D577" i="1"/>
  <c r="B577" i="1"/>
  <c r="A577" i="1"/>
  <c r="G576" i="1"/>
  <c r="F576" i="1"/>
  <c r="E576" i="1"/>
  <c r="D576" i="1"/>
  <c r="B576" i="1"/>
  <c r="A576" i="1"/>
  <c r="G575" i="1"/>
  <c r="F575" i="1"/>
  <c r="E575" i="1"/>
  <c r="D575" i="1"/>
  <c r="B575" i="1"/>
  <c r="A575" i="1"/>
  <c r="G574" i="1"/>
  <c r="F574" i="1"/>
  <c r="E574" i="1"/>
  <c r="D574" i="1"/>
  <c r="B574" i="1"/>
  <c r="A574" i="1"/>
  <c r="G573" i="1"/>
  <c r="F573" i="1"/>
  <c r="E573" i="1"/>
  <c r="D573" i="1"/>
  <c r="B573" i="1"/>
  <c r="A573" i="1"/>
  <c r="G572" i="1"/>
  <c r="F572" i="1"/>
  <c r="E572" i="1"/>
  <c r="D572" i="1"/>
  <c r="B572" i="1"/>
  <c r="A572" i="1"/>
  <c r="G571" i="1"/>
  <c r="F571" i="1"/>
  <c r="E571" i="1"/>
  <c r="D571" i="1"/>
  <c r="B571" i="1"/>
  <c r="A571" i="1"/>
  <c r="G570" i="1"/>
  <c r="F570" i="1"/>
  <c r="E570" i="1"/>
  <c r="D570" i="1"/>
  <c r="B570" i="1"/>
  <c r="A570" i="1"/>
  <c r="G569" i="1"/>
  <c r="F569" i="1"/>
  <c r="E569" i="1"/>
  <c r="D569" i="1"/>
  <c r="B569" i="1"/>
  <c r="A569" i="1"/>
  <c r="G568" i="1"/>
  <c r="F568" i="1"/>
  <c r="E568" i="1"/>
  <c r="D568" i="1"/>
  <c r="B568" i="1"/>
  <c r="A568" i="1"/>
  <c r="G567" i="1"/>
  <c r="F567" i="1"/>
  <c r="E567" i="1"/>
  <c r="D567" i="1"/>
  <c r="B567" i="1"/>
  <c r="A567" i="1"/>
  <c r="G566" i="1"/>
  <c r="F566" i="1"/>
  <c r="E566" i="1"/>
  <c r="D566" i="1"/>
  <c r="B566" i="1"/>
  <c r="A566" i="1"/>
  <c r="G565" i="1"/>
  <c r="F565" i="1"/>
  <c r="E565" i="1"/>
  <c r="D565" i="1"/>
  <c r="B565" i="1"/>
  <c r="A565" i="1"/>
  <c r="G564" i="1"/>
  <c r="F564" i="1"/>
  <c r="E564" i="1"/>
  <c r="D564" i="1"/>
  <c r="B564" i="1"/>
  <c r="A564" i="1"/>
  <c r="G563" i="1"/>
  <c r="F563" i="1"/>
  <c r="E563" i="1"/>
  <c r="D563" i="1"/>
  <c r="B563" i="1"/>
  <c r="A563" i="1"/>
  <c r="G562" i="1"/>
  <c r="F562" i="1"/>
  <c r="E562" i="1"/>
  <c r="D562" i="1"/>
  <c r="B562" i="1"/>
  <c r="A562" i="1"/>
  <c r="G561" i="1"/>
  <c r="F561" i="1"/>
  <c r="E561" i="1"/>
  <c r="D561" i="1"/>
  <c r="B561" i="1"/>
  <c r="A561" i="1"/>
  <c r="G560" i="1"/>
  <c r="F560" i="1"/>
  <c r="E560" i="1"/>
  <c r="D560" i="1"/>
  <c r="B560" i="1"/>
  <c r="A560" i="1"/>
  <c r="G559" i="1"/>
  <c r="F559" i="1"/>
  <c r="E559" i="1"/>
  <c r="D559" i="1"/>
  <c r="B559" i="1"/>
  <c r="A559" i="1"/>
  <c r="G558" i="1"/>
  <c r="F558" i="1"/>
  <c r="E558" i="1"/>
  <c r="D558" i="1"/>
  <c r="B558" i="1"/>
  <c r="A558" i="1"/>
  <c r="G557" i="1"/>
  <c r="F557" i="1"/>
  <c r="E557" i="1"/>
  <c r="D557" i="1"/>
  <c r="B557" i="1"/>
  <c r="A557" i="1"/>
  <c r="G556" i="1"/>
  <c r="F556" i="1"/>
  <c r="E556" i="1"/>
  <c r="D556" i="1"/>
  <c r="B556" i="1"/>
  <c r="A556" i="1"/>
  <c r="G555" i="1"/>
  <c r="F555" i="1"/>
  <c r="E555" i="1"/>
  <c r="D555" i="1"/>
  <c r="B555" i="1"/>
  <c r="A555" i="1"/>
  <c r="G554" i="1"/>
  <c r="F554" i="1"/>
  <c r="E554" i="1"/>
  <c r="D554" i="1"/>
  <c r="B554" i="1"/>
  <c r="A554" i="1"/>
  <c r="G553" i="1"/>
  <c r="F553" i="1"/>
  <c r="E553" i="1"/>
  <c r="D553" i="1"/>
  <c r="B553" i="1"/>
  <c r="A553" i="1"/>
  <c r="G552" i="1"/>
  <c r="F552" i="1"/>
  <c r="E552" i="1"/>
  <c r="D552" i="1"/>
  <c r="B552" i="1"/>
  <c r="A552" i="1"/>
  <c r="G551" i="1"/>
  <c r="F551" i="1"/>
  <c r="E551" i="1"/>
  <c r="D551" i="1"/>
  <c r="B551" i="1"/>
  <c r="A551" i="1"/>
  <c r="G550" i="1"/>
  <c r="F550" i="1"/>
  <c r="E550" i="1"/>
  <c r="D550" i="1"/>
  <c r="B550" i="1"/>
  <c r="A550" i="1"/>
  <c r="G549" i="1"/>
  <c r="F549" i="1"/>
  <c r="E549" i="1"/>
  <c r="D549" i="1"/>
  <c r="B549" i="1"/>
  <c r="A549" i="1"/>
  <c r="G548" i="1"/>
  <c r="F548" i="1"/>
  <c r="E548" i="1"/>
  <c r="D548" i="1"/>
  <c r="B548" i="1"/>
  <c r="A548" i="1"/>
  <c r="G547" i="1"/>
  <c r="F547" i="1"/>
  <c r="E547" i="1"/>
  <c r="D547" i="1"/>
  <c r="B547" i="1"/>
  <c r="A547" i="1"/>
  <c r="G546" i="1"/>
  <c r="F546" i="1"/>
  <c r="E546" i="1"/>
  <c r="D546" i="1"/>
  <c r="B546" i="1"/>
  <c r="A546" i="1"/>
  <c r="G545" i="1"/>
  <c r="F545" i="1"/>
  <c r="E545" i="1"/>
  <c r="D545" i="1"/>
  <c r="B545" i="1"/>
  <c r="A545" i="1"/>
  <c r="G544" i="1"/>
  <c r="F544" i="1"/>
  <c r="E544" i="1"/>
  <c r="D544" i="1"/>
  <c r="B544" i="1"/>
  <c r="A544" i="1"/>
  <c r="G543" i="1"/>
  <c r="F543" i="1"/>
  <c r="E543" i="1"/>
  <c r="D543" i="1"/>
  <c r="B543" i="1"/>
  <c r="A543" i="1"/>
  <c r="G542" i="1"/>
  <c r="F542" i="1"/>
  <c r="E542" i="1"/>
  <c r="D542" i="1"/>
  <c r="B542" i="1"/>
  <c r="A542" i="1"/>
  <c r="G541" i="1"/>
  <c r="F541" i="1"/>
  <c r="E541" i="1"/>
  <c r="D541" i="1"/>
  <c r="B541" i="1"/>
  <c r="A541" i="1"/>
  <c r="G540" i="1"/>
  <c r="F540" i="1"/>
  <c r="E540" i="1"/>
  <c r="D540" i="1"/>
  <c r="B540" i="1"/>
  <c r="A540" i="1"/>
  <c r="G539" i="1"/>
  <c r="F539" i="1"/>
  <c r="E539" i="1"/>
  <c r="D539" i="1"/>
  <c r="B539" i="1"/>
  <c r="A539" i="1"/>
  <c r="G538" i="1"/>
  <c r="F538" i="1"/>
  <c r="E538" i="1"/>
  <c r="D538" i="1"/>
  <c r="B538" i="1"/>
  <c r="A538" i="1"/>
  <c r="G537" i="1"/>
  <c r="F537" i="1"/>
  <c r="E537" i="1"/>
  <c r="D537" i="1"/>
  <c r="B537" i="1"/>
  <c r="A537" i="1"/>
  <c r="G536" i="1"/>
  <c r="F536" i="1"/>
  <c r="E536" i="1"/>
  <c r="D536" i="1"/>
  <c r="B536" i="1"/>
  <c r="A536" i="1"/>
  <c r="G535" i="1"/>
  <c r="F535" i="1"/>
  <c r="E535" i="1"/>
  <c r="D535" i="1"/>
  <c r="B535" i="1"/>
  <c r="A535" i="1"/>
  <c r="G534" i="1"/>
  <c r="F534" i="1"/>
  <c r="E534" i="1"/>
  <c r="D534" i="1"/>
  <c r="B534" i="1"/>
  <c r="A534" i="1"/>
  <c r="G533" i="1"/>
  <c r="F533" i="1"/>
  <c r="E533" i="1"/>
  <c r="D533" i="1"/>
  <c r="B533" i="1"/>
  <c r="A533" i="1"/>
  <c r="G532" i="1"/>
  <c r="F532" i="1"/>
  <c r="E532" i="1"/>
  <c r="D532" i="1"/>
  <c r="B532" i="1"/>
  <c r="A532" i="1"/>
  <c r="G531" i="1"/>
  <c r="F531" i="1"/>
  <c r="E531" i="1"/>
  <c r="D531" i="1"/>
  <c r="B531" i="1"/>
  <c r="A531" i="1"/>
  <c r="G530" i="1"/>
  <c r="F530" i="1"/>
  <c r="E530" i="1"/>
  <c r="D530" i="1"/>
  <c r="B530" i="1"/>
  <c r="A530" i="1"/>
  <c r="G529" i="1"/>
  <c r="F529" i="1"/>
  <c r="E529" i="1"/>
  <c r="D529" i="1"/>
  <c r="B529" i="1"/>
  <c r="A529" i="1"/>
  <c r="G528" i="1"/>
  <c r="F528" i="1"/>
  <c r="E528" i="1"/>
  <c r="D528" i="1"/>
  <c r="B528" i="1"/>
  <c r="A528" i="1"/>
  <c r="G527" i="1"/>
  <c r="F527" i="1"/>
  <c r="E527" i="1"/>
  <c r="D527" i="1"/>
  <c r="B527" i="1"/>
  <c r="A527" i="1"/>
  <c r="G526" i="1"/>
  <c r="F526" i="1"/>
  <c r="E526" i="1"/>
  <c r="D526" i="1"/>
  <c r="B526" i="1"/>
  <c r="A526" i="1"/>
  <c r="G525" i="1"/>
  <c r="F525" i="1"/>
  <c r="E525" i="1"/>
  <c r="D525" i="1"/>
  <c r="B525" i="1"/>
  <c r="A525" i="1"/>
  <c r="G524" i="1"/>
  <c r="F524" i="1"/>
  <c r="E524" i="1"/>
  <c r="D524" i="1"/>
  <c r="B524" i="1"/>
  <c r="A524" i="1"/>
  <c r="G523" i="1"/>
  <c r="F523" i="1"/>
  <c r="E523" i="1"/>
  <c r="D523" i="1"/>
  <c r="B523" i="1"/>
  <c r="A523" i="1"/>
  <c r="G522" i="1"/>
  <c r="F522" i="1"/>
  <c r="E522" i="1"/>
  <c r="D522" i="1"/>
  <c r="B522" i="1"/>
  <c r="A522" i="1"/>
  <c r="G521" i="1"/>
  <c r="F521" i="1"/>
  <c r="E521" i="1"/>
  <c r="D521" i="1"/>
  <c r="B521" i="1"/>
  <c r="A521" i="1"/>
  <c r="G520" i="1"/>
  <c r="F520" i="1"/>
  <c r="E520" i="1"/>
  <c r="D520" i="1"/>
  <c r="B520" i="1"/>
  <c r="A520" i="1"/>
  <c r="G519" i="1"/>
  <c r="F519" i="1"/>
  <c r="E519" i="1"/>
  <c r="D519" i="1"/>
  <c r="B519" i="1"/>
  <c r="A519" i="1"/>
  <c r="G518" i="1"/>
  <c r="F518" i="1"/>
  <c r="E518" i="1"/>
  <c r="D518" i="1"/>
  <c r="B518" i="1"/>
  <c r="A518" i="1"/>
  <c r="G517" i="1"/>
  <c r="F517" i="1"/>
  <c r="E517" i="1"/>
  <c r="D517" i="1"/>
  <c r="B517" i="1"/>
  <c r="A517" i="1"/>
  <c r="G516" i="1"/>
  <c r="F516" i="1"/>
  <c r="E516" i="1"/>
  <c r="D516" i="1"/>
  <c r="B516" i="1"/>
  <c r="A516" i="1"/>
  <c r="G515" i="1"/>
  <c r="F515" i="1"/>
  <c r="E515" i="1"/>
  <c r="D515" i="1"/>
  <c r="B515" i="1"/>
  <c r="A515" i="1"/>
  <c r="G514" i="1"/>
  <c r="F514" i="1"/>
  <c r="E514" i="1"/>
  <c r="D514" i="1"/>
  <c r="B514" i="1"/>
  <c r="A514" i="1"/>
  <c r="G513" i="1"/>
  <c r="F513" i="1"/>
  <c r="E513" i="1"/>
  <c r="D513" i="1"/>
  <c r="B513" i="1"/>
  <c r="A513" i="1"/>
  <c r="G512" i="1"/>
  <c r="F512" i="1"/>
  <c r="E512" i="1"/>
  <c r="D512" i="1"/>
  <c r="B512" i="1"/>
  <c r="A512" i="1"/>
  <c r="G511" i="1"/>
  <c r="F511" i="1"/>
  <c r="E511" i="1"/>
  <c r="D511" i="1"/>
  <c r="B511" i="1"/>
  <c r="A511" i="1"/>
  <c r="G510" i="1"/>
  <c r="F510" i="1"/>
  <c r="E510" i="1"/>
  <c r="D510" i="1"/>
  <c r="B510" i="1"/>
  <c r="A510" i="1"/>
  <c r="G509" i="1"/>
  <c r="F509" i="1"/>
  <c r="E509" i="1"/>
  <c r="D509" i="1"/>
  <c r="B509" i="1"/>
  <c r="A509" i="1"/>
  <c r="G508" i="1"/>
  <c r="F508" i="1"/>
  <c r="E508" i="1"/>
  <c r="D508" i="1"/>
  <c r="B508" i="1"/>
  <c r="A508" i="1"/>
  <c r="G507" i="1"/>
  <c r="F507" i="1"/>
  <c r="E507" i="1"/>
  <c r="D507" i="1"/>
  <c r="B507" i="1"/>
  <c r="A507" i="1"/>
  <c r="G506" i="1"/>
  <c r="F506" i="1"/>
  <c r="E506" i="1"/>
  <c r="D506" i="1"/>
  <c r="B506" i="1"/>
  <c r="A506" i="1"/>
  <c r="G505" i="1"/>
  <c r="F505" i="1"/>
  <c r="E505" i="1"/>
  <c r="D505" i="1"/>
  <c r="B505" i="1"/>
  <c r="A505" i="1"/>
  <c r="G504" i="1"/>
  <c r="F504" i="1"/>
  <c r="E504" i="1"/>
  <c r="D504" i="1"/>
  <c r="B504" i="1"/>
  <c r="A504" i="1"/>
  <c r="G503" i="1"/>
  <c r="F503" i="1"/>
  <c r="E503" i="1"/>
  <c r="D503" i="1"/>
  <c r="B503" i="1"/>
  <c r="A503" i="1"/>
  <c r="G502" i="1"/>
  <c r="F502" i="1"/>
  <c r="E502" i="1"/>
  <c r="D502" i="1"/>
  <c r="B502" i="1"/>
  <c r="A502" i="1"/>
  <c r="G501" i="1"/>
  <c r="F501" i="1"/>
  <c r="E501" i="1"/>
  <c r="D501" i="1"/>
  <c r="B501" i="1"/>
  <c r="A501" i="1"/>
  <c r="G500" i="1"/>
  <c r="F500" i="1"/>
  <c r="E500" i="1"/>
  <c r="D500" i="1"/>
  <c r="B500" i="1"/>
  <c r="A500" i="1"/>
  <c r="G499" i="1"/>
  <c r="F499" i="1"/>
  <c r="E499" i="1"/>
  <c r="D499" i="1"/>
  <c r="B499" i="1"/>
  <c r="A499" i="1"/>
  <c r="G498" i="1"/>
  <c r="F498" i="1"/>
  <c r="E498" i="1"/>
  <c r="D498" i="1"/>
  <c r="B498" i="1"/>
  <c r="A498" i="1"/>
  <c r="G497" i="1"/>
  <c r="F497" i="1"/>
  <c r="E497" i="1"/>
  <c r="D497" i="1"/>
  <c r="B497" i="1"/>
  <c r="A497" i="1"/>
  <c r="G496" i="1"/>
  <c r="F496" i="1"/>
  <c r="E496" i="1"/>
  <c r="D496" i="1"/>
  <c r="B496" i="1"/>
  <c r="A496" i="1"/>
  <c r="G495" i="1"/>
  <c r="F495" i="1"/>
  <c r="E495" i="1"/>
  <c r="D495" i="1"/>
  <c r="B495" i="1"/>
  <c r="A495" i="1"/>
  <c r="G494" i="1"/>
  <c r="F494" i="1"/>
  <c r="E494" i="1"/>
  <c r="D494" i="1"/>
  <c r="B494" i="1"/>
  <c r="A494" i="1"/>
  <c r="G493" i="1"/>
  <c r="F493" i="1"/>
  <c r="E493" i="1"/>
  <c r="D493" i="1"/>
  <c r="B493" i="1"/>
  <c r="A493" i="1"/>
  <c r="G492" i="1"/>
  <c r="F492" i="1"/>
  <c r="E492" i="1"/>
  <c r="D492" i="1"/>
  <c r="B492" i="1"/>
  <c r="A492" i="1"/>
  <c r="G491" i="1"/>
  <c r="F491" i="1"/>
  <c r="E491" i="1"/>
  <c r="D491" i="1"/>
  <c r="B491" i="1"/>
  <c r="A491" i="1"/>
  <c r="G490" i="1"/>
  <c r="F490" i="1"/>
  <c r="E490" i="1"/>
  <c r="D490" i="1"/>
  <c r="B490" i="1"/>
  <c r="A490" i="1"/>
  <c r="G489" i="1"/>
  <c r="F489" i="1"/>
  <c r="E489" i="1"/>
  <c r="D489" i="1"/>
  <c r="B489" i="1"/>
  <c r="A489" i="1"/>
  <c r="G488" i="1"/>
  <c r="F488" i="1"/>
  <c r="E488" i="1"/>
  <c r="D488" i="1"/>
  <c r="B488" i="1"/>
  <c r="A488" i="1"/>
  <c r="G487" i="1"/>
  <c r="F487" i="1"/>
  <c r="E487" i="1"/>
  <c r="D487" i="1"/>
  <c r="B487" i="1"/>
  <c r="A487" i="1"/>
  <c r="G486" i="1"/>
  <c r="F486" i="1"/>
  <c r="E486" i="1"/>
  <c r="D486" i="1"/>
  <c r="B486" i="1"/>
  <c r="A486" i="1"/>
  <c r="G485" i="1"/>
  <c r="F485" i="1"/>
  <c r="E485" i="1"/>
  <c r="D485" i="1"/>
  <c r="B485" i="1"/>
  <c r="A485" i="1"/>
  <c r="G484" i="1"/>
  <c r="F484" i="1"/>
  <c r="E484" i="1"/>
  <c r="D484" i="1"/>
  <c r="B484" i="1"/>
  <c r="A484" i="1"/>
  <c r="G483" i="1"/>
  <c r="F483" i="1"/>
  <c r="E483" i="1"/>
  <c r="D483" i="1"/>
  <c r="B483" i="1"/>
  <c r="A483" i="1"/>
  <c r="G482" i="1"/>
  <c r="F482" i="1"/>
  <c r="E482" i="1"/>
  <c r="D482" i="1"/>
  <c r="B482" i="1"/>
  <c r="A482" i="1"/>
  <c r="G481" i="1"/>
  <c r="F481" i="1"/>
  <c r="E481" i="1"/>
  <c r="D481" i="1"/>
  <c r="B481" i="1"/>
  <c r="A481" i="1"/>
  <c r="G480" i="1"/>
  <c r="F480" i="1"/>
  <c r="E480" i="1"/>
  <c r="D480" i="1"/>
  <c r="B480" i="1"/>
  <c r="A480" i="1"/>
  <c r="G479" i="1"/>
  <c r="F479" i="1"/>
  <c r="E479" i="1"/>
  <c r="D479" i="1"/>
  <c r="B479" i="1"/>
  <c r="A479" i="1"/>
  <c r="G478" i="1"/>
  <c r="F478" i="1"/>
  <c r="E478" i="1"/>
  <c r="D478" i="1"/>
  <c r="B478" i="1"/>
  <c r="A478" i="1"/>
  <c r="G477" i="1"/>
  <c r="F477" i="1"/>
  <c r="E477" i="1"/>
  <c r="D477" i="1"/>
  <c r="B477" i="1"/>
  <c r="A477" i="1"/>
  <c r="G476" i="1"/>
  <c r="F476" i="1"/>
  <c r="E476" i="1"/>
  <c r="D476" i="1"/>
  <c r="B476" i="1"/>
  <c r="A476" i="1"/>
  <c r="G475" i="1"/>
  <c r="F475" i="1"/>
  <c r="E475" i="1"/>
  <c r="D475" i="1"/>
  <c r="B475" i="1"/>
  <c r="A475" i="1"/>
  <c r="G474" i="1"/>
  <c r="F474" i="1"/>
  <c r="E474" i="1"/>
  <c r="D474" i="1"/>
  <c r="B474" i="1"/>
  <c r="A474" i="1"/>
  <c r="G473" i="1"/>
  <c r="F473" i="1"/>
  <c r="E473" i="1"/>
  <c r="D473" i="1"/>
  <c r="B473" i="1"/>
  <c r="A473" i="1"/>
  <c r="G472" i="1"/>
  <c r="F472" i="1"/>
  <c r="E472" i="1"/>
  <c r="D472" i="1"/>
  <c r="B472" i="1"/>
  <c r="A472" i="1"/>
  <c r="G471" i="1"/>
  <c r="F471" i="1"/>
  <c r="E471" i="1"/>
  <c r="D471" i="1"/>
  <c r="B471" i="1"/>
  <c r="A471" i="1"/>
  <c r="G470" i="1"/>
  <c r="F470" i="1"/>
  <c r="E470" i="1"/>
  <c r="D470" i="1"/>
  <c r="B470" i="1"/>
  <c r="A470" i="1"/>
  <c r="G469" i="1"/>
  <c r="F469" i="1"/>
  <c r="E469" i="1"/>
  <c r="D469" i="1"/>
  <c r="B469" i="1"/>
  <c r="A469" i="1"/>
  <c r="G468" i="1"/>
  <c r="F468" i="1"/>
  <c r="E468" i="1"/>
  <c r="D468" i="1"/>
  <c r="B468" i="1"/>
  <c r="A468" i="1"/>
  <c r="G467" i="1"/>
  <c r="F467" i="1"/>
  <c r="E467" i="1"/>
  <c r="D467" i="1"/>
  <c r="B467" i="1"/>
  <c r="A467" i="1"/>
  <c r="G466" i="1"/>
  <c r="F466" i="1"/>
  <c r="E466" i="1"/>
  <c r="D466" i="1"/>
  <c r="B466" i="1"/>
  <c r="A466" i="1"/>
  <c r="G465" i="1"/>
  <c r="F465" i="1"/>
  <c r="E465" i="1"/>
  <c r="D465" i="1"/>
  <c r="B465" i="1"/>
  <c r="A465" i="1"/>
  <c r="G464" i="1"/>
  <c r="F464" i="1"/>
  <c r="E464" i="1"/>
  <c r="D464" i="1"/>
  <c r="B464" i="1"/>
  <c r="A464" i="1"/>
  <c r="G463" i="1"/>
  <c r="F463" i="1"/>
  <c r="E463" i="1"/>
  <c r="D463" i="1"/>
  <c r="B463" i="1"/>
  <c r="A463" i="1"/>
  <c r="G462" i="1"/>
  <c r="F462" i="1"/>
  <c r="E462" i="1"/>
  <c r="D462" i="1"/>
  <c r="B462" i="1"/>
  <c r="A462" i="1"/>
  <c r="G461" i="1"/>
  <c r="F461" i="1"/>
  <c r="E461" i="1"/>
  <c r="D461" i="1"/>
  <c r="B461" i="1"/>
  <c r="A461" i="1"/>
  <c r="G460" i="1"/>
  <c r="F460" i="1"/>
  <c r="E460" i="1"/>
  <c r="D460" i="1"/>
  <c r="B460" i="1"/>
  <c r="A460" i="1"/>
  <c r="G459" i="1"/>
  <c r="F459" i="1"/>
  <c r="E459" i="1"/>
  <c r="D459" i="1"/>
  <c r="B459" i="1"/>
  <c r="A459" i="1"/>
  <c r="G458" i="1"/>
  <c r="F458" i="1"/>
  <c r="E458" i="1"/>
  <c r="D458" i="1"/>
  <c r="B458" i="1"/>
  <c r="A458" i="1"/>
  <c r="G457" i="1"/>
  <c r="F457" i="1"/>
  <c r="E457" i="1"/>
  <c r="D457" i="1"/>
  <c r="B457" i="1"/>
  <c r="A457" i="1"/>
  <c r="G456" i="1"/>
  <c r="F456" i="1"/>
  <c r="E456" i="1"/>
  <c r="D456" i="1"/>
  <c r="B456" i="1"/>
  <c r="A456" i="1"/>
  <c r="G455" i="1"/>
  <c r="F455" i="1"/>
  <c r="E455" i="1"/>
  <c r="D455" i="1"/>
  <c r="B455" i="1"/>
  <c r="A455" i="1"/>
  <c r="G454" i="1"/>
  <c r="F454" i="1"/>
  <c r="E454" i="1"/>
  <c r="D454" i="1"/>
  <c r="B454" i="1"/>
  <c r="A454" i="1"/>
  <c r="G453" i="1"/>
  <c r="F453" i="1"/>
  <c r="E453" i="1"/>
  <c r="D453" i="1"/>
  <c r="B453" i="1"/>
  <c r="A453" i="1"/>
  <c r="G452" i="1"/>
  <c r="F452" i="1"/>
  <c r="E452" i="1"/>
  <c r="D452" i="1"/>
  <c r="B452" i="1"/>
  <c r="A452" i="1"/>
  <c r="G451" i="1"/>
  <c r="F451" i="1"/>
  <c r="E451" i="1"/>
  <c r="D451" i="1"/>
  <c r="B451" i="1"/>
  <c r="A451" i="1"/>
  <c r="G450" i="1"/>
  <c r="F450" i="1"/>
  <c r="E450" i="1"/>
  <c r="D450" i="1"/>
  <c r="B450" i="1"/>
  <c r="A450" i="1"/>
  <c r="G449" i="1"/>
  <c r="F449" i="1"/>
  <c r="E449" i="1"/>
  <c r="D449" i="1"/>
  <c r="B449" i="1"/>
  <c r="A449" i="1"/>
  <c r="G448" i="1"/>
  <c r="F448" i="1"/>
  <c r="E448" i="1"/>
  <c r="D448" i="1"/>
  <c r="B448" i="1"/>
  <c r="A448" i="1"/>
  <c r="G447" i="1"/>
  <c r="F447" i="1"/>
  <c r="E447" i="1"/>
  <c r="D447" i="1"/>
  <c r="B447" i="1"/>
  <c r="A447" i="1"/>
  <c r="G446" i="1"/>
  <c r="F446" i="1"/>
  <c r="E446" i="1"/>
  <c r="D446" i="1"/>
  <c r="B446" i="1"/>
  <c r="A446" i="1"/>
  <c r="G445" i="1"/>
  <c r="F445" i="1"/>
  <c r="E445" i="1"/>
  <c r="D445" i="1"/>
  <c r="B445" i="1"/>
  <c r="A445" i="1"/>
  <c r="G444" i="1"/>
  <c r="F444" i="1"/>
  <c r="E444" i="1"/>
  <c r="D444" i="1"/>
  <c r="B444" i="1"/>
  <c r="A444" i="1"/>
  <c r="G443" i="1"/>
  <c r="F443" i="1"/>
  <c r="E443" i="1"/>
  <c r="D443" i="1"/>
  <c r="B443" i="1"/>
  <c r="A443" i="1"/>
  <c r="G442" i="1"/>
  <c r="F442" i="1"/>
  <c r="E442" i="1"/>
  <c r="D442" i="1"/>
  <c r="B442" i="1"/>
  <c r="A442" i="1"/>
  <c r="G441" i="1"/>
  <c r="F441" i="1"/>
  <c r="E441" i="1"/>
  <c r="D441" i="1"/>
  <c r="B441" i="1"/>
  <c r="A441" i="1"/>
  <c r="G440" i="1"/>
  <c r="F440" i="1"/>
  <c r="E440" i="1"/>
  <c r="D440" i="1"/>
  <c r="B440" i="1"/>
  <c r="A440" i="1"/>
  <c r="G439" i="1"/>
  <c r="F439" i="1"/>
  <c r="E439" i="1"/>
  <c r="D439" i="1"/>
  <c r="B439" i="1"/>
  <c r="A439" i="1"/>
  <c r="G438" i="1"/>
  <c r="F438" i="1"/>
  <c r="E438" i="1"/>
  <c r="D438" i="1"/>
  <c r="B438" i="1"/>
  <c r="A438" i="1"/>
  <c r="G437" i="1"/>
  <c r="F437" i="1"/>
  <c r="E437" i="1"/>
  <c r="D437" i="1"/>
  <c r="B437" i="1"/>
  <c r="A437" i="1"/>
  <c r="G436" i="1"/>
  <c r="F436" i="1"/>
  <c r="E436" i="1"/>
  <c r="D436" i="1"/>
  <c r="B436" i="1"/>
  <c r="A436" i="1"/>
  <c r="G435" i="1"/>
  <c r="F435" i="1"/>
  <c r="E435" i="1"/>
  <c r="D435" i="1"/>
  <c r="B435" i="1"/>
  <c r="A435" i="1"/>
  <c r="G434" i="1"/>
  <c r="F434" i="1"/>
  <c r="E434" i="1"/>
  <c r="D434" i="1"/>
  <c r="B434" i="1"/>
  <c r="A434" i="1"/>
  <c r="G433" i="1"/>
  <c r="F433" i="1"/>
  <c r="E433" i="1"/>
  <c r="D433" i="1"/>
  <c r="B433" i="1"/>
  <c r="A433" i="1"/>
  <c r="G432" i="1"/>
  <c r="F432" i="1"/>
  <c r="E432" i="1"/>
  <c r="D432" i="1"/>
  <c r="B432" i="1"/>
  <c r="A432" i="1"/>
  <c r="G431" i="1"/>
  <c r="F431" i="1"/>
  <c r="E431" i="1"/>
  <c r="D431" i="1"/>
  <c r="B431" i="1"/>
  <c r="A431" i="1"/>
  <c r="G430" i="1"/>
  <c r="F430" i="1"/>
  <c r="E430" i="1"/>
  <c r="D430" i="1"/>
  <c r="B430" i="1"/>
  <c r="A430" i="1"/>
  <c r="G429" i="1"/>
  <c r="F429" i="1"/>
  <c r="E429" i="1"/>
  <c r="D429" i="1"/>
  <c r="B429" i="1"/>
  <c r="A429" i="1"/>
  <c r="G428" i="1"/>
  <c r="F428" i="1"/>
  <c r="E428" i="1"/>
  <c r="D428" i="1"/>
  <c r="B428" i="1"/>
  <c r="A428" i="1"/>
  <c r="G427" i="1"/>
  <c r="F427" i="1"/>
  <c r="E427" i="1"/>
  <c r="D427" i="1"/>
  <c r="B427" i="1"/>
  <c r="A427" i="1"/>
  <c r="G426" i="1"/>
  <c r="F426" i="1"/>
  <c r="E426" i="1"/>
  <c r="D426" i="1"/>
  <c r="B426" i="1"/>
  <c r="A426" i="1"/>
  <c r="G425" i="1"/>
  <c r="F425" i="1"/>
  <c r="E425" i="1"/>
  <c r="D425" i="1"/>
  <c r="B425" i="1"/>
  <c r="A425" i="1"/>
  <c r="G424" i="1"/>
  <c r="F424" i="1"/>
  <c r="E424" i="1"/>
  <c r="D424" i="1"/>
  <c r="B424" i="1"/>
  <c r="A424" i="1"/>
  <c r="G423" i="1"/>
  <c r="F423" i="1"/>
  <c r="E423" i="1"/>
  <c r="D423" i="1"/>
  <c r="B423" i="1"/>
  <c r="A423" i="1"/>
  <c r="G422" i="1"/>
  <c r="F422" i="1"/>
  <c r="E422" i="1"/>
  <c r="D422" i="1"/>
  <c r="B422" i="1"/>
  <c r="A422" i="1"/>
  <c r="G421" i="1"/>
  <c r="F421" i="1"/>
  <c r="E421" i="1"/>
  <c r="D421" i="1"/>
  <c r="B421" i="1"/>
  <c r="A421" i="1"/>
  <c r="G420" i="1"/>
  <c r="F420" i="1"/>
  <c r="E420" i="1"/>
  <c r="D420" i="1"/>
  <c r="B420" i="1"/>
  <c r="A420" i="1"/>
  <c r="G419" i="1"/>
  <c r="F419" i="1"/>
  <c r="E419" i="1"/>
  <c r="D419" i="1"/>
  <c r="B419" i="1"/>
  <c r="A419" i="1"/>
  <c r="G418" i="1"/>
  <c r="F418" i="1"/>
  <c r="E418" i="1"/>
  <c r="D418" i="1"/>
  <c r="B418" i="1"/>
  <c r="A418" i="1"/>
  <c r="G417" i="1"/>
  <c r="F417" i="1"/>
  <c r="E417" i="1"/>
  <c r="D417" i="1"/>
  <c r="B417" i="1"/>
  <c r="A417" i="1"/>
  <c r="G416" i="1"/>
  <c r="F416" i="1"/>
  <c r="E416" i="1"/>
  <c r="D416" i="1"/>
  <c r="B416" i="1"/>
  <c r="A416" i="1"/>
  <c r="G415" i="1"/>
  <c r="F415" i="1"/>
  <c r="E415" i="1"/>
  <c r="D415" i="1"/>
  <c r="B415" i="1"/>
  <c r="A415" i="1"/>
  <c r="G414" i="1"/>
  <c r="F414" i="1"/>
  <c r="E414" i="1"/>
  <c r="D414" i="1"/>
  <c r="B414" i="1"/>
  <c r="A414" i="1"/>
  <c r="G413" i="1"/>
  <c r="F413" i="1"/>
  <c r="E413" i="1"/>
  <c r="D413" i="1"/>
  <c r="B413" i="1"/>
  <c r="A413" i="1"/>
  <c r="G412" i="1"/>
  <c r="F412" i="1"/>
  <c r="E412" i="1"/>
  <c r="D412" i="1"/>
  <c r="B412" i="1"/>
  <c r="A412" i="1"/>
  <c r="G411" i="1"/>
  <c r="F411" i="1"/>
  <c r="E411" i="1"/>
  <c r="D411" i="1"/>
  <c r="B411" i="1"/>
  <c r="A411" i="1"/>
  <c r="G410" i="1"/>
  <c r="F410" i="1"/>
  <c r="E410" i="1"/>
  <c r="D410" i="1"/>
  <c r="B410" i="1"/>
  <c r="A410" i="1"/>
  <c r="G409" i="1"/>
  <c r="F409" i="1"/>
  <c r="E409" i="1"/>
  <c r="D409" i="1"/>
  <c r="B409" i="1"/>
  <c r="A409" i="1"/>
  <c r="G408" i="1"/>
  <c r="F408" i="1"/>
  <c r="E408" i="1"/>
  <c r="D408" i="1"/>
  <c r="B408" i="1"/>
  <c r="A408" i="1"/>
  <c r="G407" i="1"/>
  <c r="F407" i="1"/>
  <c r="E407" i="1"/>
  <c r="D407" i="1"/>
  <c r="B407" i="1"/>
  <c r="A407" i="1"/>
  <c r="G406" i="1"/>
  <c r="F406" i="1"/>
  <c r="E406" i="1"/>
  <c r="D406" i="1"/>
  <c r="B406" i="1"/>
  <c r="A406" i="1"/>
  <c r="G405" i="1"/>
  <c r="F405" i="1"/>
  <c r="E405" i="1"/>
  <c r="D405" i="1"/>
  <c r="B405" i="1"/>
  <c r="A405" i="1"/>
  <c r="G404" i="1"/>
  <c r="F404" i="1"/>
  <c r="E404" i="1"/>
  <c r="D404" i="1"/>
  <c r="B404" i="1"/>
  <c r="A404" i="1"/>
  <c r="G403" i="1"/>
  <c r="F403" i="1"/>
  <c r="E403" i="1"/>
  <c r="D403" i="1"/>
  <c r="B403" i="1"/>
  <c r="A403" i="1"/>
  <c r="G402" i="1"/>
  <c r="F402" i="1"/>
  <c r="E402" i="1"/>
  <c r="D402" i="1"/>
  <c r="B402" i="1"/>
  <c r="A402" i="1"/>
  <c r="G401" i="1"/>
  <c r="F401" i="1"/>
  <c r="E401" i="1"/>
  <c r="D401" i="1"/>
  <c r="B401" i="1"/>
  <c r="A401" i="1"/>
  <c r="G400" i="1"/>
  <c r="F400" i="1"/>
  <c r="E400" i="1"/>
  <c r="D400" i="1"/>
  <c r="B400" i="1"/>
  <c r="A400" i="1"/>
  <c r="G399" i="1"/>
  <c r="F399" i="1"/>
  <c r="E399" i="1"/>
  <c r="D399" i="1"/>
  <c r="B399" i="1"/>
  <c r="A399" i="1"/>
  <c r="G398" i="1"/>
  <c r="F398" i="1"/>
  <c r="E398" i="1"/>
  <c r="D398" i="1"/>
  <c r="B398" i="1"/>
  <c r="A398" i="1"/>
  <c r="G397" i="1"/>
  <c r="F397" i="1"/>
  <c r="E397" i="1"/>
  <c r="D397" i="1"/>
  <c r="B397" i="1"/>
  <c r="A397" i="1"/>
  <c r="G396" i="1"/>
  <c r="F396" i="1"/>
  <c r="E396" i="1"/>
  <c r="D396" i="1"/>
  <c r="B396" i="1"/>
  <c r="A396" i="1"/>
  <c r="G395" i="1"/>
  <c r="F395" i="1"/>
  <c r="E395" i="1"/>
  <c r="D395" i="1"/>
  <c r="B395" i="1"/>
  <c r="A395" i="1"/>
  <c r="G394" i="1"/>
  <c r="F394" i="1"/>
  <c r="E394" i="1"/>
  <c r="D394" i="1"/>
  <c r="B394" i="1"/>
  <c r="A394" i="1"/>
  <c r="G393" i="1"/>
  <c r="F393" i="1"/>
  <c r="E393" i="1"/>
  <c r="D393" i="1"/>
  <c r="B393" i="1"/>
  <c r="A393" i="1"/>
  <c r="G392" i="1"/>
  <c r="F392" i="1"/>
  <c r="E392" i="1"/>
  <c r="D392" i="1"/>
  <c r="B392" i="1"/>
  <c r="A392" i="1"/>
  <c r="G391" i="1"/>
  <c r="F391" i="1"/>
  <c r="E391" i="1"/>
  <c r="D391" i="1"/>
  <c r="B391" i="1"/>
  <c r="A391" i="1"/>
  <c r="G390" i="1"/>
  <c r="F390" i="1"/>
  <c r="E390" i="1"/>
  <c r="D390" i="1"/>
  <c r="B390" i="1"/>
  <c r="A390" i="1"/>
  <c r="G389" i="1"/>
  <c r="F389" i="1"/>
  <c r="E389" i="1"/>
  <c r="D389" i="1"/>
  <c r="B389" i="1"/>
  <c r="A389" i="1"/>
  <c r="G388" i="1"/>
  <c r="F388" i="1"/>
  <c r="E388" i="1"/>
  <c r="D388" i="1"/>
  <c r="B388" i="1"/>
  <c r="A388" i="1"/>
  <c r="G387" i="1"/>
  <c r="F387" i="1"/>
  <c r="E387" i="1"/>
  <c r="D387" i="1"/>
  <c r="B387" i="1"/>
  <c r="A387" i="1"/>
  <c r="G386" i="1"/>
  <c r="F386" i="1"/>
  <c r="E386" i="1"/>
  <c r="D386" i="1"/>
  <c r="B386" i="1"/>
  <c r="A386" i="1"/>
  <c r="G385" i="1"/>
  <c r="F385" i="1"/>
  <c r="E385" i="1"/>
  <c r="D385" i="1"/>
  <c r="B385" i="1"/>
  <c r="A385" i="1"/>
  <c r="G384" i="1"/>
  <c r="F384" i="1"/>
  <c r="E384" i="1"/>
  <c r="D384" i="1"/>
  <c r="B384" i="1"/>
  <c r="A384" i="1"/>
  <c r="G383" i="1"/>
  <c r="F383" i="1"/>
  <c r="E383" i="1"/>
  <c r="D383" i="1"/>
  <c r="B383" i="1"/>
  <c r="A383" i="1"/>
  <c r="G382" i="1"/>
  <c r="F382" i="1"/>
  <c r="E382" i="1"/>
  <c r="D382" i="1"/>
  <c r="B382" i="1"/>
  <c r="A382" i="1"/>
  <c r="G381" i="1"/>
  <c r="F381" i="1"/>
  <c r="E381" i="1"/>
  <c r="D381" i="1"/>
  <c r="B381" i="1"/>
  <c r="A381" i="1"/>
  <c r="G380" i="1"/>
  <c r="F380" i="1"/>
  <c r="E380" i="1"/>
  <c r="D380" i="1"/>
  <c r="B380" i="1"/>
  <c r="A380" i="1"/>
  <c r="G379" i="1"/>
  <c r="F379" i="1"/>
  <c r="E379" i="1"/>
  <c r="D379" i="1"/>
  <c r="B379" i="1"/>
  <c r="A379" i="1"/>
  <c r="G378" i="1"/>
  <c r="F378" i="1"/>
  <c r="E378" i="1"/>
  <c r="D378" i="1"/>
  <c r="B378" i="1"/>
  <c r="A378" i="1"/>
  <c r="G377" i="1"/>
  <c r="F377" i="1"/>
  <c r="E377" i="1"/>
  <c r="D377" i="1"/>
  <c r="B377" i="1"/>
  <c r="A377" i="1"/>
  <c r="G376" i="1"/>
  <c r="F376" i="1"/>
  <c r="E376" i="1"/>
  <c r="D376" i="1"/>
  <c r="B376" i="1"/>
  <c r="A376" i="1"/>
  <c r="G375" i="1"/>
  <c r="F375" i="1"/>
  <c r="E375" i="1"/>
  <c r="D375" i="1"/>
  <c r="B375" i="1"/>
  <c r="A375" i="1"/>
  <c r="G374" i="1"/>
  <c r="F374" i="1"/>
  <c r="E374" i="1"/>
  <c r="D374" i="1"/>
  <c r="B374" i="1"/>
  <c r="A374" i="1"/>
  <c r="G373" i="1"/>
  <c r="F373" i="1"/>
  <c r="E373" i="1"/>
  <c r="D373" i="1"/>
  <c r="B373" i="1"/>
  <c r="A373" i="1"/>
  <c r="G372" i="1"/>
  <c r="F372" i="1"/>
  <c r="E372" i="1"/>
  <c r="D372" i="1"/>
  <c r="B372" i="1"/>
  <c r="A372" i="1"/>
  <c r="G371" i="1"/>
  <c r="F371" i="1"/>
  <c r="E371" i="1"/>
  <c r="D371" i="1"/>
  <c r="B371" i="1"/>
  <c r="A371" i="1"/>
  <c r="G370" i="1"/>
  <c r="F370" i="1"/>
  <c r="E370" i="1"/>
  <c r="D370" i="1"/>
  <c r="B370" i="1"/>
  <c r="A370" i="1"/>
  <c r="G369" i="1"/>
  <c r="F369" i="1"/>
  <c r="E369" i="1"/>
  <c r="D369" i="1"/>
  <c r="B369" i="1"/>
  <c r="A369" i="1"/>
  <c r="G368" i="1"/>
  <c r="F368" i="1"/>
  <c r="E368" i="1"/>
  <c r="D368" i="1"/>
  <c r="B368" i="1"/>
  <c r="A368" i="1"/>
  <c r="G367" i="1"/>
  <c r="F367" i="1"/>
  <c r="E367" i="1"/>
  <c r="D367" i="1"/>
  <c r="B367" i="1"/>
  <c r="A367" i="1"/>
  <c r="G366" i="1"/>
  <c r="F366" i="1"/>
  <c r="E366" i="1"/>
  <c r="D366" i="1"/>
  <c r="B366" i="1"/>
  <c r="A366" i="1"/>
  <c r="G365" i="1"/>
  <c r="F365" i="1"/>
  <c r="E365" i="1"/>
  <c r="D365" i="1"/>
  <c r="B365" i="1"/>
  <c r="A365" i="1"/>
  <c r="G364" i="1"/>
  <c r="F364" i="1"/>
  <c r="E364" i="1"/>
  <c r="D364" i="1"/>
  <c r="B364" i="1"/>
  <c r="A364" i="1"/>
  <c r="G363" i="1"/>
  <c r="F363" i="1"/>
  <c r="E363" i="1"/>
  <c r="D363" i="1"/>
  <c r="B363" i="1"/>
  <c r="A363" i="1"/>
  <c r="G362" i="1"/>
  <c r="F362" i="1"/>
  <c r="E362" i="1"/>
  <c r="D362" i="1"/>
  <c r="B362" i="1"/>
  <c r="A362" i="1"/>
  <c r="G361" i="1"/>
  <c r="F361" i="1"/>
  <c r="E361" i="1"/>
  <c r="D361" i="1"/>
  <c r="B361" i="1"/>
  <c r="A361" i="1"/>
  <c r="G360" i="1"/>
  <c r="F360" i="1"/>
  <c r="E360" i="1"/>
  <c r="D360" i="1"/>
  <c r="B360" i="1"/>
  <c r="A360" i="1"/>
  <c r="G359" i="1"/>
  <c r="F359" i="1"/>
  <c r="E359" i="1"/>
  <c r="D359" i="1"/>
  <c r="B359" i="1"/>
  <c r="A359" i="1"/>
  <c r="G358" i="1"/>
  <c r="F358" i="1"/>
  <c r="E358" i="1"/>
  <c r="D358" i="1"/>
  <c r="B358" i="1"/>
  <c r="A358" i="1"/>
  <c r="G357" i="1"/>
  <c r="F357" i="1"/>
  <c r="E357" i="1"/>
  <c r="D357" i="1"/>
  <c r="B357" i="1"/>
  <c r="A357" i="1"/>
  <c r="G356" i="1"/>
  <c r="F356" i="1"/>
  <c r="E356" i="1"/>
  <c r="D356" i="1"/>
  <c r="B356" i="1"/>
  <c r="A356" i="1"/>
  <c r="G355" i="1"/>
  <c r="F355" i="1"/>
  <c r="E355" i="1"/>
  <c r="D355" i="1"/>
  <c r="B355" i="1"/>
  <c r="A355" i="1"/>
  <c r="G354" i="1"/>
  <c r="F354" i="1"/>
  <c r="E354" i="1"/>
  <c r="D354" i="1"/>
  <c r="B354" i="1"/>
  <c r="A354" i="1"/>
  <c r="G353" i="1"/>
  <c r="F353" i="1"/>
  <c r="E353" i="1"/>
  <c r="D353" i="1"/>
  <c r="B353" i="1"/>
  <c r="A353" i="1"/>
  <c r="G352" i="1"/>
  <c r="F352" i="1"/>
  <c r="E352" i="1"/>
  <c r="D352" i="1"/>
  <c r="B352" i="1"/>
  <c r="A352" i="1"/>
  <c r="G351" i="1"/>
  <c r="F351" i="1"/>
  <c r="E351" i="1"/>
  <c r="D351" i="1"/>
  <c r="B351" i="1"/>
  <c r="A351" i="1"/>
  <c r="G350" i="1"/>
  <c r="F350" i="1"/>
  <c r="E350" i="1"/>
  <c r="D350" i="1"/>
  <c r="B350" i="1"/>
  <c r="A350" i="1"/>
  <c r="G349" i="1"/>
  <c r="F349" i="1"/>
  <c r="E349" i="1"/>
  <c r="D349" i="1"/>
  <c r="B349" i="1"/>
  <c r="A349" i="1"/>
  <c r="G348" i="1"/>
  <c r="F348" i="1"/>
  <c r="E348" i="1"/>
  <c r="D348" i="1"/>
  <c r="B348" i="1"/>
  <c r="A348" i="1"/>
  <c r="G347" i="1"/>
  <c r="F347" i="1"/>
  <c r="E347" i="1"/>
  <c r="D347" i="1"/>
  <c r="B347" i="1"/>
  <c r="A347" i="1"/>
  <c r="G346" i="1"/>
  <c r="F346" i="1"/>
  <c r="E346" i="1"/>
  <c r="D346" i="1"/>
  <c r="B346" i="1"/>
  <c r="A346" i="1"/>
  <c r="G345" i="1"/>
  <c r="F345" i="1"/>
  <c r="E345" i="1"/>
  <c r="D345" i="1"/>
  <c r="B345" i="1"/>
  <c r="A345" i="1"/>
  <c r="G344" i="1"/>
  <c r="F344" i="1"/>
  <c r="E344" i="1"/>
  <c r="D344" i="1"/>
  <c r="B344" i="1"/>
  <c r="A344" i="1"/>
  <c r="G343" i="1"/>
  <c r="F343" i="1"/>
  <c r="E343" i="1"/>
  <c r="D343" i="1"/>
  <c r="B343" i="1"/>
  <c r="A343" i="1"/>
  <c r="G342" i="1"/>
  <c r="F342" i="1"/>
  <c r="E342" i="1"/>
  <c r="D342" i="1"/>
  <c r="B342" i="1"/>
  <c r="A342" i="1"/>
  <c r="G341" i="1"/>
  <c r="F341" i="1"/>
  <c r="E341" i="1"/>
  <c r="D341" i="1"/>
  <c r="B341" i="1"/>
  <c r="A341" i="1"/>
  <c r="G340" i="1"/>
  <c r="F340" i="1"/>
  <c r="E340" i="1"/>
  <c r="D340" i="1"/>
  <c r="B340" i="1"/>
  <c r="A340" i="1"/>
  <c r="G339" i="1"/>
  <c r="F339" i="1"/>
  <c r="E339" i="1"/>
  <c r="D339" i="1"/>
  <c r="B339" i="1"/>
  <c r="A339" i="1"/>
  <c r="G338" i="1"/>
  <c r="F338" i="1"/>
  <c r="E338" i="1"/>
  <c r="D338" i="1"/>
  <c r="B338" i="1"/>
  <c r="A338" i="1"/>
  <c r="G337" i="1"/>
  <c r="F337" i="1"/>
  <c r="E337" i="1"/>
  <c r="D337" i="1"/>
  <c r="B337" i="1"/>
  <c r="A337" i="1"/>
  <c r="G336" i="1"/>
  <c r="F336" i="1"/>
  <c r="E336" i="1"/>
  <c r="D336" i="1"/>
  <c r="B336" i="1"/>
  <c r="A336" i="1"/>
  <c r="G335" i="1"/>
  <c r="F335" i="1"/>
  <c r="E335" i="1"/>
  <c r="D335" i="1"/>
  <c r="B335" i="1"/>
  <c r="A335" i="1"/>
  <c r="G334" i="1"/>
  <c r="F334" i="1"/>
  <c r="E334" i="1"/>
  <c r="D334" i="1"/>
  <c r="B334" i="1"/>
  <c r="A334" i="1"/>
  <c r="G333" i="1"/>
  <c r="F333" i="1"/>
  <c r="E333" i="1"/>
  <c r="D333" i="1"/>
  <c r="B333" i="1"/>
  <c r="A333" i="1"/>
  <c r="G332" i="1"/>
  <c r="F332" i="1"/>
  <c r="E332" i="1"/>
  <c r="D332" i="1"/>
  <c r="B332" i="1"/>
  <c r="A332" i="1"/>
  <c r="G331" i="1"/>
  <c r="F331" i="1"/>
  <c r="E331" i="1"/>
  <c r="D331" i="1"/>
  <c r="B331" i="1"/>
  <c r="A331" i="1"/>
  <c r="G330" i="1"/>
  <c r="F330" i="1"/>
  <c r="E330" i="1"/>
  <c r="D330" i="1"/>
  <c r="B330" i="1"/>
  <c r="A330" i="1"/>
  <c r="G329" i="1"/>
  <c r="F329" i="1"/>
  <c r="E329" i="1"/>
  <c r="D329" i="1"/>
  <c r="B329" i="1"/>
  <c r="A329" i="1"/>
  <c r="G328" i="1"/>
  <c r="F328" i="1"/>
  <c r="E328" i="1"/>
  <c r="D328" i="1"/>
  <c r="B328" i="1"/>
  <c r="A328" i="1"/>
  <c r="G327" i="1"/>
  <c r="F327" i="1"/>
  <c r="E327" i="1"/>
  <c r="D327" i="1"/>
  <c r="B327" i="1"/>
  <c r="A327" i="1"/>
  <c r="G326" i="1"/>
  <c r="F326" i="1"/>
  <c r="E326" i="1"/>
  <c r="D326" i="1"/>
  <c r="B326" i="1"/>
  <c r="A326" i="1"/>
  <c r="G325" i="1"/>
  <c r="F325" i="1"/>
  <c r="E325" i="1"/>
  <c r="D325" i="1"/>
  <c r="B325" i="1"/>
  <c r="A325" i="1"/>
  <c r="G324" i="1"/>
  <c r="F324" i="1"/>
  <c r="E324" i="1"/>
  <c r="D324" i="1"/>
  <c r="B324" i="1"/>
  <c r="A324" i="1"/>
  <c r="G323" i="1"/>
  <c r="F323" i="1"/>
  <c r="E323" i="1"/>
  <c r="D323" i="1"/>
  <c r="B323" i="1"/>
  <c r="A323" i="1"/>
  <c r="G322" i="1"/>
  <c r="F322" i="1"/>
  <c r="E322" i="1"/>
  <c r="D322" i="1"/>
  <c r="B322" i="1"/>
  <c r="A322" i="1"/>
  <c r="G321" i="1"/>
  <c r="F321" i="1"/>
  <c r="E321" i="1"/>
  <c r="D321" i="1"/>
  <c r="B321" i="1"/>
  <c r="A321" i="1"/>
  <c r="G320" i="1"/>
  <c r="F320" i="1"/>
  <c r="E320" i="1"/>
  <c r="D320" i="1"/>
  <c r="B320" i="1"/>
  <c r="A320" i="1"/>
  <c r="G319" i="1"/>
  <c r="F319" i="1"/>
  <c r="E319" i="1"/>
  <c r="D319" i="1"/>
  <c r="B319" i="1"/>
  <c r="A319" i="1"/>
  <c r="G318" i="1"/>
  <c r="F318" i="1"/>
  <c r="E318" i="1"/>
  <c r="D318" i="1"/>
  <c r="B318" i="1"/>
  <c r="A318" i="1"/>
  <c r="G317" i="1"/>
  <c r="F317" i="1"/>
  <c r="E317" i="1"/>
  <c r="D317" i="1"/>
  <c r="B317" i="1"/>
  <c r="A317" i="1"/>
  <c r="G316" i="1"/>
  <c r="F316" i="1"/>
  <c r="E316" i="1"/>
  <c r="D316" i="1"/>
  <c r="B316" i="1"/>
  <c r="A316" i="1"/>
  <c r="G315" i="1"/>
  <c r="F315" i="1"/>
  <c r="E315" i="1"/>
  <c r="D315" i="1"/>
  <c r="B315" i="1"/>
  <c r="A315" i="1"/>
  <c r="G314" i="1"/>
  <c r="F314" i="1"/>
  <c r="E314" i="1"/>
  <c r="D314" i="1"/>
  <c r="B314" i="1"/>
  <c r="A314" i="1"/>
  <c r="G313" i="1"/>
  <c r="F313" i="1"/>
  <c r="E313" i="1"/>
  <c r="D313" i="1"/>
  <c r="B313" i="1"/>
  <c r="A313" i="1"/>
  <c r="G312" i="1"/>
  <c r="F312" i="1"/>
  <c r="E312" i="1"/>
  <c r="D312" i="1"/>
  <c r="B312" i="1"/>
  <c r="A312" i="1"/>
  <c r="G311" i="1"/>
  <c r="F311" i="1"/>
  <c r="E311" i="1"/>
  <c r="D311" i="1"/>
  <c r="B311" i="1"/>
  <c r="A311" i="1"/>
  <c r="G310" i="1"/>
  <c r="F310" i="1"/>
  <c r="E310" i="1"/>
  <c r="D310" i="1"/>
  <c r="B310" i="1"/>
  <c r="A310" i="1"/>
  <c r="G309" i="1"/>
  <c r="F309" i="1"/>
  <c r="E309" i="1"/>
  <c r="D309" i="1"/>
  <c r="B309" i="1"/>
  <c r="A309" i="1"/>
  <c r="G308" i="1"/>
  <c r="F308" i="1"/>
  <c r="E308" i="1"/>
  <c r="D308" i="1"/>
  <c r="B308" i="1"/>
  <c r="A308" i="1"/>
  <c r="G307" i="1"/>
  <c r="F307" i="1"/>
  <c r="E307" i="1"/>
  <c r="D307" i="1"/>
  <c r="B307" i="1"/>
  <c r="A307" i="1"/>
  <c r="G306" i="1"/>
  <c r="F306" i="1"/>
  <c r="E306" i="1"/>
  <c r="D306" i="1"/>
  <c r="B306" i="1"/>
  <c r="A306" i="1"/>
  <c r="G305" i="1"/>
  <c r="F305" i="1"/>
  <c r="E305" i="1"/>
  <c r="D305" i="1"/>
  <c r="B305" i="1"/>
  <c r="A305" i="1"/>
  <c r="G304" i="1"/>
  <c r="F304" i="1"/>
  <c r="E304" i="1"/>
  <c r="D304" i="1"/>
  <c r="B304" i="1"/>
  <c r="A304" i="1"/>
  <c r="G303" i="1"/>
  <c r="F303" i="1"/>
  <c r="E303" i="1"/>
  <c r="D303" i="1"/>
  <c r="B303" i="1"/>
  <c r="A303" i="1"/>
  <c r="G302" i="1"/>
  <c r="F302" i="1"/>
  <c r="E302" i="1"/>
  <c r="D302" i="1"/>
  <c r="B302" i="1"/>
  <c r="A302" i="1"/>
  <c r="G301" i="1"/>
  <c r="F301" i="1"/>
  <c r="E301" i="1"/>
  <c r="D301" i="1"/>
  <c r="B301" i="1"/>
  <c r="A301" i="1"/>
  <c r="G300" i="1"/>
  <c r="F300" i="1"/>
  <c r="E300" i="1"/>
  <c r="D300" i="1"/>
  <c r="B300" i="1"/>
  <c r="A300" i="1"/>
  <c r="G299" i="1"/>
  <c r="F299" i="1"/>
  <c r="E299" i="1"/>
  <c r="D299" i="1"/>
  <c r="B299" i="1"/>
  <c r="A299" i="1"/>
  <c r="G298" i="1"/>
  <c r="F298" i="1"/>
  <c r="E298" i="1"/>
  <c r="D298" i="1"/>
  <c r="B298" i="1"/>
  <c r="A298" i="1"/>
  <c r="G297" i="1"/>
  <c r="F297" i="1"/>
  <c r="E297" i="1"/>
  <c r="D297" i="1"/>
  <c r="B297" i="1"/>
  <c r="A297" i="1"/>
  <c r="G296" i="1"/>
  <c r="F296" i="1"/>
  <c r="E296" i="1"/>
  <c r="D296" i="1"/>
  <c r="B296" i="1"/>
  <c r="A296" i="1"/>
  <c r="G295" i="1"/>
  <c r="F295" i="1"/>
  <c r="E295" i="1"/>
  <c r="D295" i="1"/>
  <c r="B295" i="1"/>
  <c r="A295" i="1"/>
  <c r="G294" i="1"/>
  <c r="F294" i="1"/>
  <c r="E294" i="1"/>
  <c r="D294" i="1"/>
  <c r="B294" i="1"/>
  <c r="A294" i="1"/>
  <c r="G293" i="1"/>
  <c r="F293" i="1"/>
  <c r="E293" i="1"/>
  <c r="D293" i="1"/>
  <c r="B293" i="1"/>
  <c r="A293" i="1"/>
  <c r="G292" i="1"/>
  <c r="F292" i="1"/>
  <c r="E292" i="1"/>
  <c r="D292" i="1"/>
  <c r="B292" i="1"/>
  <c r="A292" i="1"/>
  <c r="G291" i="1"/>
  <c r="F291" i="1"/>
  <c r="E291" i="1"/>
  <c r="D291" i="1"/>
  <c r="B291" i="1"/>
  <c r="A291" i="1"/>
  <c r="G290" i="1"/>
  <c r="F290" i="1"/>
  <c r="E290" i="1"/>
  <c r="D290" i="1"/>
  <c r="B290" i="1"/>
  <c r="A290" i="1"/>
  <c r="G289" i="1"/>
  <c r="F289" i="1"/>
  <c r="E289" i="1"/>
  <c r="D289" i="1"/>
  <c r="B289" i="1"/>
  <c r="A289" i="1"/>
  <c r="G288" i="1"/>
  <c r="F288" i="1"/>
  <c r="E288" i="1"/>
  <c r="D288" i="1"/>
  <c r="B288" i="1"/>
  <c r="A288" i="1"/>
  <c r="G287" i="1"/>
  <c r="F287" i="1"/>
  <c r="E287" i="1"/>
  <c r="D287" i="1"/>
  <c r="B287" i="1"/>
  <c r="A287" i="1"/>
  <c r="G286" i="1"/>
  <c r="F286" i="1"/>
  <c r="E286" i="1"/>
  <c r="D286" i="1"/>
  <c r="B286" i="1"/>
  <c r="A286" i="1"/>
  <c r="G285" i="1"/>
  <c r="F285" i="1"/>
  <c r="E285" i="1"/>
  <c r="D285" i="1"/>
  <c r="B285" i="1"/>
  <c r="A285" i="1"/>
  <c r="G284" i="1"/>
  <c r="F284" i="1"/>
  <c r="E284" i="1"/>
  <c r="D284" i="1"/>
  <c r="B284" i="1"/>
  <c r="A284" i="1"/>
  <c r="G283" i="1"/>
  <c r="F283" i="1"/>
  <c r="E283" i="1"/>
  <c r="D283" i="1"/>
  <c r="B283" i="1"/>
  <c r="A283" i="1"/>
  <c r="G282" i="1"/>
  <c r="F282" i="1"/>
  <c r="E282" i="1"/>
  <c r="D282" i="1"/>
  <c r="B282" i="1"/>
  <c r="A282" i="1"/>
  <c r="G281" i="1"/>
  <c r="F281" i="1"/>
  <c r="E281" i="1"/>
  <c r="D281" i="1"/>
  <c r="B281" i="1"/>
  <c r="A281" i="1"/>
  <c r="G280" i="1"/>
  <c r="F280" i="1"/>
  <c r="E280" i="1"/>
  <c r="D280" i="1"/>
  <c r="B280" i="1"/>
  <c r="A280" i="1"/>
  <c r="G279" i="1"/>
  <c r="F279" i="1"/>
  <c r="E279" i="1"/>
  <c r="D279" i="1"/>
  <c r="B279" i="1"/>
  <c r="A279" i="1"/>
  <c r="G278" i="1"/>
  <c r="F278" i="1"/>
  <c r="E278" i="1"/>
  <c r="D278" i="1"/>
  <c r="B278" i="1"/>
  <c r="A278" i="1"/>
  <c r="G277" i="1"/>
  <c r="F277" i="1"/>
  <c r="E277" i="1"/>
  <c r="D277" i="1"/>
  <c r="B277" i="1"/>
  <c r="A277" i="1"/>
  <c r="G276" i="1"/>
  <c r="F276" i="1"/>
  <c r="E276" i="1"/>
  <c r="D276" i="1"/>
  <c r="B276" i="1"/>
  <c r="A276" i="1"/>
  <c r="G275" i="1"/>
  <c r="F275" i="1"/>
  <c r="E275" i="1"/>
  <c r="D275" i="1"/>
  <c r="B275" i="1"/>
  <c r="A275" i="1"/>
  <c r="G274" i="1"/>
  <c r="F274" i="1"/>
  <c r="E274" i="1"/>
  <c r="D274" i="1"/>
  <c r="B274" i="1"/>
  <c r="A274" i="1"/>
  <c r="G273" i="1"/>
  <c r="F273" i="1"/>
  <c r="E273" i="1"/>
  <c r="D273" i="1"/>
  <c r="B273" i="1"/>
  <c r="A273" i="1"/>
  <c r="G272" i="1"/>
  <c r="F272" i="1"/>
  <c r="E272" i="1"/>
  <c r="D272" i="1"/>
  <c r="B272" i="1"/>
  <c r="A272" i="1"/>
  <c r="G271" i="1"/>
  <c r="F271" i="1"/>
  <c r="E271" i="1"/>
  <c r="D271" i="1"/>
  <c r="B271" i="1"/>
  <c r="A271" i="1"/>
  <c r="G270" i="1"/>
  <c r="F270" i="1"/>
  <c r="E270" i="1"/>
  <c r="D270" i="1"/>
  <c r="B270" i="1"/>
  <c r="A270" i="1"/>
  <c r="G269" i="1"/>
  <c r="F269" i="1"/>
  <c r="E269" i="1"/>
  <c r="D269" i="1"/>
  <c r="B269" i="1"/>
  <c r="A269" i="1"/>
  <c r="G268" i="1"/>
  <c r="F268" i="1"/>
  <c r="E268" i="1"/>
  <c r="D268" i="1"/>
  <c r="B268" i="1"/>
  <c r="A268" i="1"/>
  <c r="G267" i="1"/>
  <c r="F267" i="1"/>
  <c r="E267" i="1"/>
  <c r="D267" i="1"/>
  <c r="B267" i="1"/>
  <c r="A267" i="1"/>
  <c r="G266" i="1"/>
  <c r="F266" i="1"/>
  <c r="E266" i="1"/>
  <c r="D266" i="1"/>
  <c r="B266" i="1"/>
  <c r="A266" i="1"/>
  <c r="G265" i="1"/>
  <c r="F265" i="1"/>
  <c r="E265" i="1"/>
  <c r="D265" i="1"/>
  <c r="B265" i="1"/>
  <c r="A265" i="1"/>
  <c r="G264" i="1"/>
  <c r="F264" i="1"/>
  <c r="E264" i="1"/>
  <c r="D264" i="1"/>
  <c r="B264" i="1"/>
  <c r="A264" i="1"/>
  <c r="G263" i="1"/>
  <c r="F263" i="1"/>
  <c r="E263" i="1"/>
  <c r="D263" i="1"/>
  <c r="B263" i="1"/>
  <c r="A263" i="1"/>
  <c r="G262" i="1"/>
  <c r="F262" i="1"/>
  <c r="E262" i="1"/>
  <c r="D262" i="1"/>
  <c r="B262" i="1"/>
  <c r="A262" i="1"/>
  <c r="G261" i="1"/>
  <c r="F261" i="1"/>
  <c r="E261" i="1"/>
  <c r="D261" i="1"/>
  <c r="B261" i="1"/>
  <c r="A261" i="1"/>
  <c r="G260" i="1"/>
  <c r="F260" i="1"/>
  <c r="E260" i="1"/>
  <c r="D260" i="1"/>
  <c r="B260" i="1"/>
  <c r="A260" i="1"/>
  <c r="G259" i="1"/>
  <c r="F259" i="1"/>
  <c r="E259" i="1"/>
  <c r="D259" i="1"/>
  <c r="B259" i="1"/>
  <c r="A259" i="1"/>
  <c r="G258" i="1"/>
  <c r="F258" i="1"/>
  <c r="E258" i="1"/>
  <c r="D258" i="1"/>
  <c r="B258" i="1"/>
  <c r="A258" i="1"/>
  <c r="G257" i="1"/>
  <c r="F257" i="1"/>
  <c r="E257" i="1"/>
  <c r="D257" i="1"/>
  <c r="B257" i="1"/>
  <c r="A257" i="1"/>
  <c r="G256" i="1"/>
  <c r="F256" i="1"/>
  <c r="E256" i="1"/>
  <c r="D256" i="1"/>
  <c r="B256" i="1"/>
  <c r="A256" i="1"/>
  <c r="G255" i="1"/>
  <c r="F255" i="1"/>
  <c r="E255" i="1"/>
  <c r="D255" i="1"/>
  <c r="B255" i="1"/>
  <c r="A255" i="1"/>
  <c r="G254" i="1"/>
  <c r="F254" i="1"/>
  <c r="E254" i="1"/>
  <c r="D254" i="1"/>
  <c r="B254" i="1"/>
  <c r="A254" i="1"/>
  <c r="G253" i="1"/>
  <c r="F253" i="1"/>
  <c r="E253" i="1"/>
  <c r="D253" i="1"/>
  <c r="B253" i="1"/>
  <c r="A253" i="1"/>
  <c r="G252" i="1"/>
  <c r="F252" i="1"/>
  <c r="E252" i="1"/>
  <c r="D252" i="1"/>
  <c r="B252" i="1"/>
  <c r="A252" i="1"/>
  <c r="G251" i="1"/>
  <c r="F251" i="1"/>
  <c r="E251" i="1"/>
  <c r="D251" i="1"/>
  <c r="B251" i="1"/>
  <c r="A251" i="1"/>
  <c r="G250" i="1"/>
  <c r="F250" i="1"/>
  <c r="E250" i="1"/>
  <c r="D250" i="1"/>
  <c r="B250" i="1"/>
  <c r="A250" i="1"/>
  <c r="G249" i="1"/>
  <c r="F249" i="1"/>
  <c r="E249" i="1"/>
  <c r="D249" i="1"/>
  <c r="B249" i="1"/>
  <c r="A249" i="1"/>
  <c r="G248" i="1"/>
  <c r="F248" i="1"/>
  <c r="E248" i="1"/>
  <c r="D248" i="1"/>
  <c r="B248" i="1"/>
  <c r="A248" i="1"/>
  <c r="G247" i="1"/>
  <c r="F247" i="1"/>
  <c r="E247" i="1"/>
  <c r="D247" i="1"/>
  <c r="B247" i="1"/>
  <c r="A247" i="1"/>
  <c r="G246" i="1"/>
  <c r="F246" i="1"/>
  <c r="E246" i="1"/>
  <c r="D246" i="1"/>
  <c r="B246" i="1"/>
  <c r="A246" i="1"/>
  <c r="G245" i="1"/>
  <c r="F245" i="1"/>
  <c r="E245" i="1"/>
  <c r="D245" i="1"/>
  <c r="B245" i="1"/>
  <c r="A245" i="1"/>
  <c r="G244" i="1"/>
  <c r="F244" i="1"/>
  <c r="E244" i="1"/>
  <c r="D244" i="1"/>
  <c r="B244" i="1"/>
  <c r="A244" i="1"/>
  <c r="G243" i="1"/>
  <c r="F243" i="1"/>
  <c r="E243" i="1"/>
  <c r="D243" i="1"/>
  <c r="B243" i="1"/>
  <c r="A243" i="1"/>
  <c r="G242" i="1"/>
  <c r="F242" i="1"/>
  <c r="E242" i="1"/>
  <c r="D242" i="1"/>
  <c r="B242" i="1"/>
  <c r="A242" i="1"/>
  <c r="G241" i="1"/>
  <c r="F241" i="1"/>
  <c r="E241" i="1"/>
  <c r="D241" i="1"/>
  <c r="B241" i="1"/>
  <c r="A241" i="1"/>
  <c r="G240" i="1"/>
  <c r="F240" i="1"/>
  <c r="E240" i="1"/>
  <c r="D240" i="1"/>
  <c r="B240" i="1"/>
  <c r="A240" i="1"/>
  <c r="G239" i="1"/>
  <c r="F239" i="1"/>
  <c r="E239" i="1"/>
  <c r="D239" i="1"/>
  <c r="B239" i="1"/>
  <c r="A239" i="1"/>
  <c r="G238" i="1"/>
  <c r="F238" i="1"/>
  <c r="E238" i="1"/>
  <c r="D238" i="1"/>
  <c r="B238" i="1"/>
  <c r="A238" i="1"/>
  <c r="G237" i="1"/>
  <c r="F237" i="1"/>
  <c r="E237" i="1"/>
  <c r="D237" i="1"/>
  <c r="B237" i="1"/>
  <c r="A237" i="1"/>
  <c r="G236" i="1"/>
  <c r="F236" i="1"/>
  <c r="E236" i="1"/>
  <c r="D236" i="1"/>
  <c r="B236" i="1"/>
  <c r="A236" i="1"/>
  <c r="G235" i="1"/>
  <c r="F235" i="1"/>
  <c r="E235" i="1"/>
  <c r="D235" i="1"/>
  <c r="B235" i="1"/>
  <c r="A235" i="1"/>
  <c r="G234" i="1"/>
  <c r="F234" i="1"/>
  <c r="E234" i="1"/>
  <c r="D234" i="1"/>
  <c r="B234" i="1"/>
  <c r="A234" i="1"/>
  <c r="G233" i="1"/>
  <c r="F233" i="1"/>
  <c r="E233" i="1"/>
  <c r="D233" i="1"/>
  <c r="B233" i="1"/>
  <c r="A233" i="1"/>
  <c r="G232" i="1"/>
  <c r="F232" i="1"/>
  <c r="E232" i="1"/>
  <c r="D232" i="1"/>
  <c r="B232" i="1"/>
  <c r="A232" i="1"/>
  <c r="G231" i="1"/>
  <c r="F231" i="1"/>
  <c r="E231" i="1"/>
  <c r="D231" i="1"/>
  <c r="B231" i="1"/>
  <c r="A231" i="1"/>
  <c r="G230" i="1"/>
  <c r="F230" i="1"/>
  <c r="E230" i="1"/>
  <c r="D230" i="1"/>
  <c r="B230" i="1"/>
  <c r="A230" i="1"/>
  <c r="G229" i="1"/>
  <c r="F229" i="1"/>
  <c r="E229" i="1"/>
  <c r="D229" i="1"/>
  <c r="B229" i="1"/>
  <c r="A229" i="1"/>
  <c r="G228" i="1"/>
  <c r="F228" i="1"/>
  <c r="E228" i="1"/>
  <c r="D228" i="1"/>
  <c r="B228" i="1"/>
  <c r="A228" i="1"/>
  <c r="G227" i="1"/>
  <c r="F227" i="1"/>
  <c r="E227" i="1"/>
  <c r="D227" i="1"/>
  <c r="B227" i="1"/>
  <c r="A227" i="1"/>
  <c r="G226" i="1"/>
  <c r="F226" i="1"/>
  <c r="E226" i="1"/>
  <c r="D226" i="1"/>
  <c r="B226" i="1"/>
  <c r="A226" i="1"/>
  <c r="G225" i="1"/>
  <c r="F225" i="1"/>
  <c r="E225" i="1"/>
  <c r="D225" i="1"/>
  <c r="B225" i="1"/>
  <c r="A225" i="1"/>
  <c r="G224" i="1"/>
  <c r="F224" i="1"/>
  <c r="E224" i="1"/>
  <c r="D224" i="1"/>
  <c r="B224" i="1"/>
  <c r="A224" i="1"/>
  <c r="G223" i="1"/>
  <c r="F223" i="1"/>
  <c r="E223" i="1"/>
  <c r="D223" i="1"/>
  <c r="B223" i="1"/>
  <c r="A223" i="1"/>
  <c r="G222" i="1"/>
  <c r="F222" i="1"/>
  <c r="E222" i="1"/>
  <c r="D222" i="1"/>
  <c r="B222" i="1"/>
  <c r="A222" i="1"/>
  <c r="G221" i="1"/>
  <c r="F221" i="1"/>
  <c r="E221" i="1"/>
  <c r="D221" i="1"/>
  <c r="B221" i="1"/>
  <c r="A221" i="1"/>
  <c r="G220" i="1"/>
  <c r="F220" i="1"/>
  <c r="E220" i="1"/>
  <c r="D220" i="1"/>
  <c r="B220" i="1"/>
  <c r="A220" i="1"/>
  <c r="G219" i="1"/>
  <c r="F219" i="1"/>
  <c r="E219" i="1"/>
  <c r="D219" i="1"/>
  <c r="B219" i="1"/>
  <c r="A219" i="1"/>
  <c r="G218" i="1"/>
  <c r="F218" i="1"/>
  <c r="E218" i="1"/>
  <c r="D218" i="1"/>
  <c r="B218" i="1"/>
  <c r="A218" i="1"/>
  <c r="G217" i="1"/>
  <c r="F217" i="1"/>
  <c r="E217" i="1"/>
  <c r="D217" i="1"/>
  <c r="B217" i="1"/>
  <c r="A217" i="1"/>
  <c r="G216" i="1"/>
  <c r="F216" i="1"/>
  <c r="E216" i="1"/>
  <c r="D216" i="1"/>
  <c r="B216" i="1"/>
  <c r="A216" i="1"/>
  <c r="G215" i="1"/>
  <c r="F215" i="1"/>
  <c r="E215" i="1"/>
  <c r="D215" i="1"/>
  <c r="B215" i="1"/>
  <c r="G214" i="1"/>
  <c r="F214" i="1"/>
  <c r="E214" i="1"/>
  <c r="D214" i="1"/>
  <c r="B214" i="1"/>
  <c r="A214" i="1"/>
  <c r="G213" i="1"/>
  <c r="F213" i="1"/>
  <c r="E213" i="1"/>
  <c r="D213" i="1"/>
  <c r="B213" i="1"/>
  <c r="A213" i="1"/>
  <c r="G212" i="1"/>
  <c r="F212" i="1"/>
  <c r="E212" i="1"/>
  <c r="D212" i="1"/>
  <c r="B212" i="1"/>
  <c r="A212" i="1"/>
  <c r="G211" i="1"/>
  <c r="F211" i="1"/>
  <c r="E211" i="1"/>
  <c r="D211" i="1"/>
  <c r="B211" i="1"/>
  <c r="A211" i="1"/>
  <c r="G210" i="1"/>
  <c r="F210" i="1"/>
  <c r="E210" i="1"/>
  <c r="D210" i="1"/>
  <c r="B210" i="1"/>
  <c r="A210" i="1"/>
  <c r="G209" i="1"/>
  <c r="F209" i="1"/>
  <c r="E209" i="1"/>
  <c r="D209" i="1"/>
  <c r="B209" i="1"/>
  <c r="A209" i="1"/>
  <c r="G208" i="1"/>
  <c r="F208" i="1"/>
  <c r="E208" i="1"/>
  <c r="D208" i="1"/>
  <c r="B208" i="1"/>
  <c r="A208" i="1"/>
  <c r="G207" i="1"/>
  <c r="F207" i="1"/>
  <c r="E207" i="1"/>
  <c r="D207" i="1"/>
  <c r="B207" i="1"/>
  <c r="A207" i="1"/>
  <c r="G206" i="1"/>
  <c r="F206" i="1"/>
  <c r="E206" i="1"/>
  <c r="D206" i="1"/>
  <c r="B206" i="1"/>
  <c r="A206" i="1"/>
  <c r="G205" i="1"/>
  <c r="F205" i="1"/>
  <c r="E205" i="1"/>
  <c r="D205" i="1"/>
  <c r="B205" i="1"/>
  <c r="A205" i="1"/>
  <c r="G204" i="1"/>
  <c r="F204" i="1"/>
  <c r="E204" i="1"/>
  <c r="D204" i="1"/>
  <c r="B204" i="1"/>
  <c r="A204" i="1"/>
  <c r="G203" i="1"/>
  <c r="F203" i="1"/>
  <c r="E203" i="1"/>
  <c r="D203" i="1"/>
  <c r="B203" i="1"/>
  <c r="A203" i="1"/>
  <c r="G202" i="1"/>
  <c r="F202" i="1"/>
  <c r="E202" i="1"/>
  <c r="D202" i="1"/>
  <c r="B202" i="1"/>
  <c r="A202" i="1"/>
  <c r="G201" i="1"/>
  <c r="F201" i="1"/>
  <c r="E201" i="1"/>
  <c r="D201" i="1"/>
  <c r="B201" i="1"/>
  <c r="A201" i="1"/>
  <c r="G200" i="1"/>
  <c r="F200" i="1"/>
  <c r="E200" i="1"/>
  <c r="D200" i="1"/>
  <c r="B200" i="1"/>
  <c r="A200" i="1"/>
  <c r="G199" i="1"/>
  <c r="F199" i="1"/>
  <c r="E199" i="1"/>
  <c r="D199" i="1"/>
  <c r="B199" i="1"/>
  <c r="A199" i="1"/>
  <c r="G198" i="1"/>
  <c r="F198" i="1"/>
  <c r="E198" i="1"/>
  <c r="D198" i="1"/>
  <c r="B198" i="1"/>
  <c r="A198" i="1"/>
  <c r="G197" i="1"/>
  <c r="F197" i="1"/>
  <c r="E197" i="1"/>
  <c r="D197" i="1"/>
  <c r="B197" i="1"/>
  <c r="A197" i="1"/>
  <c r="G196" i="1"/>
  <c r="F196" i="1"/>
  <c r="E196" i="1"/>
  <c r="D196" i="1"/>
  <c r="B196" i="1"/>
  <c r="A196" i="1"/>
  <c r="G195" i="1"/>
  <c r="F195" i="1"/>
  <c r="E195" i="1"/>
  <c r="D195" i="1"/>
  <c r="B195" i="1"/>
  <c r="A195" i="1"/>
  <c r="G194" i="1"/>
  <c r="F194" i="1"/>
  <c r="E194" i="1"/>
  <c r="D194" i="1"/>
  <c r="B194" i="1"/>
  <c r="A194" i="1"/>
  <c r="G193" i="1"/>
  <c r="F193" i="1"/>
  <c r="E193" i="1"/>
  <c r="D193" i="1"/>
  <c r="B193" i="1"/>
  <c r="A193" i="1"/>
  <c r="G192" i="1"/>
  <c r="F192" i="1"/>
  <c r="E192" i="1"/>
  <c r="D192" i="1"/>
  <c r="B192" i="1"/>
  <c r="A192" i="1"/>
  <c r="G191" i="1"/>
  <c r="F191" i="1"/>
  <c r="E191" i="1"/>
  <c r="D191" i="1"/>
  <c r="B191" i="1"/>
  <c r="A191" i="1"/>
  <c r="G190" i="1"/>
  <c r="F190" i="1"/>
  <c r="E190" i="1"/>
  <c r="D190" i="1"/>
  <c r="B190" i="1"/>
  <c r="A190" i="1"/>
  <c r="G189" i="1"/>
  <c r="F189" i="1"/>
  <c r="E189" i="1"/>
  <c r="D189" i="1"/>
  <c r="B189" i="1"/>
  <c r="A189" i="1"/>
  <c r="G188" i="1"/>
  <c r="F188" i="1"/>
  <c r="E188" i="1"/>
  <c r="D188" i="1"/>
  <c r="B188" i="1"/>
  <c r="A188" i="1"/>
  <c r="G187" i="1"/>
  <c r="F187" i="1"/>
  <c r="E187" i="1"/>
  <c r="D187" i="1"/>
  <c r="B187" i="1"/>
  <c r="A187" i="1"/>
  <c r="G186" i="1"/>
  <c r="F186" i="1"/>
  <c r="E186" i="1"/>
  <c r="D186" i="1"/>
  <c r="B186" i="1"/>
  <c r="A186" i="1"/>
  <c r="G185" i="1"/>
  <c r="F185" i="1"/>
  <c r="E185" i="1"/>
  <c r="D185" i="1"/>
  <c r="B185" i="1"/>
  <c r="A185" i="1"/>
  <c r="G184" i="1"/>
  <c r="F184" i="1"/>
  <c r="E184" i="1"/>
  <c r="D184" i="1"/>
  <c r="B184" i="1"/>
  <c r="A184" i="1"/>
  <c r="G183" i="1"/>
  <c r="F183" i="1"/>
  <c r="E183" i="1"/>
  <c r="D183" i="1"/>
  <c r="B183" i="1"/>
  <c r="A183" i="1"/>
  <c r="G182" i="1"/>
  <c r="F182" i="1"/>
  <c r="E182" i="1"/>
  <c r="D182" i="1"/>
  <c r="B182" i="1"/>
  <c r="A182" i="1"/>
  <c r="G181" i="1"/>
  <c r="F181" i="1"/>
  <c r="E181" i="1"/>
  <c r="D181" i="1"/>
  <c r="B181" i="1"/>
  <c r="A181" i="1"/>
  <c r="G180" i="1"/>
  <c r="F180" i="1"/>
  <c r="E180" i="1"/>
  <c r="D180" i="1"/>
  <c r="B180" i="1"/>
  <c r="A180" i="1"/>
  <c r="G179" i="1"/>
  <c r="F179" i="1"/>
  <c r="E179" i="1"/>
  <c r="D179" i="1"/>
  <c r="B179" i="1"/>
  <c r="A179" i="1"/>
  <c r="G178" i="1"/>
  <c r="F178" i="1"/>
  <c r="E178" i="1"/>
  <c r="D178" i="1"/>
  <c r="B178" i="1"/>
  <c r="A178" i="1"/>
  <c r="G177" i="1"/>
  <c r="F177" i="1"/>
  <c r="E177" i="1"/>
  <c r="D177" i="1"/>
  <c r="B177" i="1"/>
  <c r="A177" i="1"/>
  <c r="G176" i="1"/>
  <c r="F176" i="1"/>
  <c r="E176" i="1"/>
  <c r="D176" i="1"/>
  <c r="B176" i="1"/>
  <c r="A176" i="1"/>
  <c r="G175" i="1"/>
  <c r="F175" i="1"/>
  <c r="E175" i="1"/>
  <c r="D175" i="1"/>
  <c r="B175" i="1"/>
  <c r="A175" i="1"/>
  <c r="G174" i="1"/>
  <c r="F174" i="1"/>
  <c r="E174" i="1"/>
  <c r="D174" i="1"/>
  <c r="B174" i="1"/>
  <c r="A174" i="1"/>
  <c r="G173" i="1"/>
  <c r="F173" i="1"/>
  <c r="E173" i="1"/>
  <c r="D173" i="1"/>
  <c r="B173" i="1"/>
  <c r="A173" i="1"/>
  <c r="G172" i="1"/>
  <c r="F172" i="1"/>
  <c r="E172" i="1"/>
  <c r="D172" i="1"/>
  <c r="B172" i="1"/>
  <c r="A172" i="1"/>
  <c r="G171" i="1"/>
  <c r="F171" i="1"/>
  <c r="E171" i="1"/>
  <c r="D171" i="1"/>
  <c r="B171" i="1"/>
  <c r="A171" i="1"/>
  <c r="G170" i="1"/>
  <c r="F170" i="1"/>
  <c r="E170" i="1"/>
  <c r="D170" i="1"/>
  <c r="B170" i="1"/>
  <c r="A170" i="1"/>
  <c r="G169" i="1"/>
  <c r="F169" i="1"/>
  <c r="E169" i="1"/>
  <c r="D169" i="1"/>
  <c r="B169" i="1"/>
  <c r="A169" i="1"/>
  <c r="G168" i="1"/>
  <c r="F168" i="1"/>
  <c r="E168" i="1"/>
  <c r="D168" i="1"/>
  <c r="B168" i="1"/>
  <c r="A168" i="1"/>
  <c r="G167" i="1"/>
  <c r="F167" i="1"/>
  <c r="E167" i="1"/>
  <c r="D167" i="1"/>
  <c r="B167" i="1"/>
  <c r="A167" i="1"/>
  <c r="G166" i="1"/>
  <c r="F166" i="1"/>
  <c r="E166" i="1"/>
  <c r="D166" i="1"/>
  <c r="B166" i="1"/>
  <c r="A166" i="1"/>
  <c r="G165" i="1"/>
  <c r="F165" i="1"/>
  <c r="E165" i="1"/>
  <c r="D165" i="1"/>
  <c r="B165" i="1"/>
  <c r="A165" i="1"/>
  <c r="G164" i="1"/>
  <c r="F164" i="1"/>
  <c r="E164" i="1"/>
  <c r="D164" i="1"/>
  <c r="B164" i="1"/>
  <c r="A164" i="1"/>
  <c r="G163" i="1"/>
  <c r="F163" i="1"/>
  <c r="E163" i="1"/>
  <c r="D163" i="1"/>
  <c r="B163" i="1"/>
  <c r="A163" i="1"/>
  <c r="G162" i="1"/>
  <c r="F162" i="1"/>
  <c r="E162" i="1"/>
  <c r="D162" i="1"/>
  <c r="B162" i="1"/>
  <c r="A162" i="1"/>
  <c r="G161" i="1"/>
  <c r="F161" i="1"/>
  <c r="E161" i="1"/>
  <c r="D161" i="1"/>
  <c r="B161" i="1"/>
  <c r="A161" i="1"/>
  <c r="G160" i="1"/>
  <c r="F160" i="1"/>
  <c r="E160" i="1"/>
  <c r="D160" i="1"/>
  <c r="B160" i="1"/>
  <c r="A160" i="1"/>
  <c r="G159" i="1"/>
  <c r="F159" i="1"/>
  <c r="E159" i="1"/>
  <c r="D159" i="1"/>
  <c r="B159" i="1"/>
  <c r="A159" i="1"/>
  <c r="G158" i="1"/>
  <c r="F158" i="1"/>
  <c r="E158" i="1"/>
  <c r="D158" i="1"/>
  <c r="B158" i="1"/>
  <c r="A158" i="1"/>
  <c r="G157" i="1"/>
  <c r="F157" i="1"/>
  <c r="E157" i="1"/>
  <c r="D157" i="1"/>
  <c r="B157" i="1"/>
  <c r="A157" i="1"/>
  <c r="G156" i="1"/>
  <c r="F156" i="1"/>
  <c r="E156" i="1"/>
  <c r="D156" i="1"/>
  <c r="B156" i="1"/>
  <c r="A156" i="1"/>
  <c r="G155" i="1"/>
  <c r="F155" i="1"/>
  <c r="E155" i="1"/>
  <c r="D155" i="1"/>
  <c r="B155" i="1"/>
  <c r="A155" i="1"/>
  <c r="G154" i="1"/>
  <c r="F154" i="1"/>
  <c r="E154" i="1"/>
  <c r="D154" i="1"/>
  <c r="B154" i="1"/>
  <c r="A154" i="1"/>
  <c r="G153" i="1"/>
  <c r="F153" i="1"/>
  <c r="E153" i="1"/>
  <c r="D153" i="1"/>
  <c r="B153" i="1"/>
  <c r="A153" i="1"/>
  <c r="G152" i="1"/>
  <c r="F152" i="1"/>
  <c r="E152" i="1"/>
  <c r="D152" i="1"/>
  <c r="B152" i="1"/>
  <c r="A152" i="1"/>
  <c r="G151" i="1"/>
  <c r="F151" i="1"/>
  <c r="E151" i="1"/>
  <c r="D151" i="1"/>
  <c r="B151" i="1"/>
  <c r="A151" i="1"/>
  <c r="G150" i="1"/>
  <c r="F150" i="1"/>
  <c r="E150" i="1"/>
  <c r="D150" i="1"/>
  <c r="B150" i="1"/>
  <c r="A150" i="1"/>
  <c r="G149" i="1"/>
  <c r="F149" i="1"/>
  <c r="E149" i="1"/>
  <c r="D149" i="1"/>
  <c r="B149" i="1"/>
  <c r="A149" i="1"/>
  <c r="G148" i="1"/>
  <c r="F148" i="1"/>
  <c r="E148" i="1"/>
  <c r="D148" i="1"/>
  <c r="B148" i="1"/>
  <c r="A148" i="1"/>
  <c r="G147" i="1"/>
  <c r="F147" i="1"/>
  <c r="E147" i="1"/>
  <c r="D147" i="1"/>
  <c r="B147" i="1"/>
  <c r="A147" i="1"/>
  <c r="G146" i="1"/>
  <c r="F146" i="1"/>
  <c r="E146" i="1"/>
  <c r="D146" i="1"/>
  <c r="B146" i="1"/>
  <c r="A146" i="1"/>
  <c r="G145" i="1"/>
  <c r="F145" i="1"/>
  <c r="E145" i="1"/>
  <c r="D145" i="1"/>
  <c r="B145" i="1"/>
  <c r="A145" i="1"/>
  <c r="G144" i="1"/>
  <c r="F144" i="1"/>
  <c r="E144" i="1"/>
  <c r="D144" i="1"/>
  <c r="B144" i="1"/>
  <c r="A144" i="1"/>
  <c r="G143" i="1"/>
  <c r="F143" i="1"/>
  <c r="E143" i="1"/>
  <c r="D143" i="1"/>
  <c r="B143" i="1"/>
  <c r="A143" i="1"/>
  <c r="G142" i="1"/>
  <c r="F142" i="1"/>
  <c r="E142" i="1"/>
  <c r="D142" i="1"/>
  <c r="B142" i="1"/>
  <c r="A142" i="1"/>
  <c r="G141" i="1"/>
  <c r="F141" i="1"/>
  <c r="E141" i="1"/>
  <c r="D141" i="1"/>
  <c r="B141" i="1"/>
  <c r="A141" i="1"/>
  <c r="G140" i="1"/>
  <c r="F140" i="1"/>
  <c r="E140" i="1"/>
  <c r="D140" i="1"/>
  <c r="B140" i="1"/>
  <c r="A140" i="1"/>
  <c r="G139" i="1"/>
  <c r="F139" i="1"/>
  <c r="E139" i="1"/>
  <c r="D139" i="1"/>
  <c r="B139" i="1"/>
  <c r="A139" i="1"/>
  <c r="G138" i="1"/>
  <c r="F138" i="1"/>
  <c r="E138" i="1"/>
  <c r="D138" i="1"/>
  <c r="B138" i="1"/>
  <c r="A138" i="1"/>
  <c r="G137" i="1"/>
  <c r="F137" i="1"/>
  <c r="E137" i="1"/>
  <c r="D137" i="1"/>
  <c r="B137" i="1"/>
  <c r="A137" i="1"/>
  <c r="G136" i="1"/>
  <c r="F136" i="1"/>
  <c r="E136" i="1"/>
  <c r="D136" i="1"/>
  <c r="B136" i="1"/>
  <c r="A136" i="1"/>
  <c r="G135" i="1"/>
  <c r="F135" i="1"/>
  <c r="E135" i="1"/>
  <c r="D135" i="1"/>
  <c r="B135" i="1"/>
  <c r="A135" i="1"/>
  <c r="G134" i="1"/>
  <c r="F134" i="1"/>
  <c r="E134" i="1"/>
  <c r="D134" i="1"/>
  <c r="B134" i="1"/>
  <c r="A134" i="1"/>
  <c r="G133" i="1"/>
  <c r="F133" i="1"/>
  <c r="E133" i="1"/>
  <c r="D133" i="1"/>
  <c r="B133" i="1"/>
  <c r="A133" i="1"/>
  <c r="G132" i="1"/>
  <c r="F132" i="1"/>
  <c r="E132" i="1"/>
  <c r="D132" i="1"/>
  <c r="B132" i="1"/>
  <c r="A132" i="1"/>
  <c r="G131" i="1"/>
  <c r="F131" i="1"/>
  <c r="E131" i="1"/>
  <c r="D131" i="1"/>
  <c r="B131" i="1"/>
  <c r="A131" i="1"/>
  <c r="G130" i="1"/>
  <c r="F130" i="1"/>
  <c r="E130" i="1"/>
  <c r="D130" i="1"/>
  <c r="B130" i="1"/>
  <c r="A130" i="1"/>
  <c r="G129" i="1"/>
  <c r="F129" i="1"/>
  <c r="E129" i="1"/>
  <c r="D129" i="1"/>
  <c r="B129" i="1"/>
  <c r="A129" i="1"/>
  <c r="G128" i="1"/>
  <c r="F128" i="1"/>
  <c r="E128" i="1"/>
  <c r="D128" i="1"/>
  <c r="B128" i="1"/>
  <c r="A128" i="1"/>
  <c r="G127" i="1"/>
  <c r="F127" i="1"/>
  <c r="E127" i="1"/>
  <c r="D127" i="1"/>
  <c r="B127" i="1"/>
  <c r="A127" i="1"/>
  <c r="G126" i="1"/>
  <c r="F126" i="1"/>
  <c r="E126" i="1"/>
  <c r="D126" i="1"/>
  <c r="B126" i="1"/>
  <c r="A126" i="1"/>
  <c r="G125" i="1"/>
  <c r="F125" i="1"/>
  <c r="E125" i="1"/>
  <c r="D125" i="1"/>
  <c r="B125" i="1"/>
  <c r="A125" i="1"/>
  <c r="G124" i="1"/>
  <c r="F124" i="1"/>
  <c r="E124" i="1"/>
  <c r="D124" i="1"/>
  <c r="B124" i="1"/>
  <c r="A124" i="1"/>
  <c r="G123" i="1"/>
  <c r="F123" i="1"/>
  <c r="E123" i="1"/>
  <c r="D123" i="1"/>
  <c r="B123" i="1"/>
  <c r="A123" i="1"/>
  <c r="G122" i="1"/>
  <c r="F122" i="1"/>
  <c r="E122" i="1"/>
  <c r="D122" i="1"/>
  <c r="B122" i="1"/>
  <c r="A122" i="1"/>
  <c r="G121" i="1"/>
  <c r="F121" i="1"/>
  <c r="E121" i="1"/>
  <c r="D121" i="1"/>
  <c r="B121" i="1"/>
  <c r="A121" i="1"/>
  <c r="G116" i="1"/>
  <c r="F116" i="1"/>
  <c r="E116" i="1"/>
  <c r="D116" i="1"/>
  <c r="B116" i="1"/>
  <c r="A116" i="1"/>
  <c r="G115" i="1"/>
  <c r="F115" i="1"/>
  <c r="E115" i="1"/>
  <c r="D115" i="1"/>
  <c r="B115" i="1"/>
  <c r="A115" i="1"/>
  <c r="G114" i="1"/>
  <c r="F114" i="1"/>
  <c r="E114" i="1"/>
  <c r="D114" i="1"/>
  <c r="B114" i="1"/>
  <c r="A114" i="1"/>
  <c r="G113" i="1"/>
  <c r="F113" i="1"/>
  <c r="E113" i="1"/>
  <c r="D113" i="1"/>
  <c r="B113" i="1"/>
  <c r="A113" i="1"/>
  <c r="G112" i="1"/>
  <c r="F112" i="1"/>
  <c r="E112" i="1"/>
  <c r="D112" i="1"/>
  <c r="B112" i="1"/>
  <c r="A112" i="1"/>
  <c r="G111" i="1"/>
  <c r="F111" i="1"/>
  <c r="E111" i="1"/>
  <c r="D111" i="1"/>
  <c r="B111" i="1"/>
  <c r="A111" i="1"/>
  <c r="G110" i="1"/>
  <c r="F110" i="1"/>
  <c r="E110" i="1"/>
  <c r="D110" i="1"/>
  <c r="B110" i="1"/>
  <c r="A110" i="1"/>
  <c r="G109" i="1"/>
  <c r="F109" i="1"/>
  <c r="E109" i="1"/>
  <c r="D109" i="1"/>
  <c r="B109" i="1"/>
  <c r="A109" i="1"/>
  <c r="G108" i="1"/>
  <c r="F108" i="1"/>
  <c r="E108" i="1"/>
  <c r="D108" i="1"/>
  <c r="B108" i="1"/>
  <c r="A108" i="1"/>
  <c r="G107" i="1"/>
  <c r="F107" i="1"/>
  <c r="E107" i="1"/>
  <c r="D107" i="1"/>
  <c r="B107" i="1"/>
  <c r="A107" i="1"/>
  <c r="G106" i="1"/>
  <c r="F106" i="1"/>
  <c r="E106" i="1"/>
  <c r="D106" i="1"/>
  <c r="B106" i="1"/>
  <c r="A106" i="1"/>
  <c r="G105" i="1"/>
  <c r="F105" i="1"/>
  <c r="E105" i="1"/>
  <c r="D105" i="1"/>
  <c r="B105" i="1"/>
  <c r="A105" i="1"/>
  <c r="G104" i="1"/>
  <c r="F104" i="1"/>
  <c r="E104" i="1"/>
  <c r="D104" i="1"/>
  <c r="B104" i="1"/>
  <c r="A104" i="1"/>
  <c r="G103" i="1"/>
  <c r="F103" i="1"/>
  <c r="E103" i="1"/>
  <c r="D103" i="1"/>
  <c r="B103" i="1"/>
  <c r="A103" i="1"/>
  <c r="G102" i="1"/>
  <c r="F102" i="1"/>
  <c r="E102" i="1"/>
  <c r="D102" i="1"/>
  <c r="B102" i="1"/>
  <c r="A102" i="1"/>
  <c r="G101" i="1"/>
  <c r="F101" i="1"/>
  <c r="E101" i="1"/>
  <c r="D101" i="1"/>
  <c r="B101" i="1"/>
  <c r="A101" i="1"/>
  <c r="G100" i="1"/>
  <c r="F100" i="1"/>
  <c r="E100" i="1"/>
  <c r="D100" i="1"/>
  <c r="B100" i="1"/>
  <c r="A100" i="1"/>
  <c r="G99" i="1"/>
  <c r="F99" i="1"/>
  <c r="E99" i="1"/>
  <c r="D99" i="1"/>
  <c r="B99" i="1"/>
  <c r="A99" i="1"/>
  <c r="G98" i="1"/>
  <c r="F98" i="1"/>
  <c r="E98" i="1"/>
  <c r="D98" i="1"/>
  <c r="B98" i="1"/>
  <c r="A98" i="1"/>
  <c r="G97" i="1"/>
  <c r="F97" i="1"/>
  <c r="E97" i="1"/>
  <c r="D97" i="1"/>
  <c r="B97" i="1"/>
  <c r="A97" i="1"/>
  <c r="G96" i="1"/>
  <c r="F96" i="1"/>
  <c r="E96" i="1"/>
  <c r="D96" i="1"/>
  <c r="B96" i="1"/>
  <c r="A96" i="1"/>
  <c r="G95" i="1"/>
  <c r="F95" i="1"/>
  <c r="E95" i="1"/>
  <c r="D95" i="1"/>
  <c r="B95" i="1"/>
  <c r="A95" i="1"/>
  <c r="G94" i="1"/>
  <c r="F94" i="1"/>
  <c r="E94" i="1"/>
  <c r="D94" i="1"/>
  <c r="B94" i="1"/>
  <c r="A94" i="1"/>
  <c r="G93" i="1"/>
  <c r="F93" i="1"/>
  <c r="E93" i="1"/>
  <c r="D93" i="1"/>
  <c r="B93" i="1"/>
  <c r="A93" i="1"/>
  <c r="G92" i="1"/>
  <c r="F92" i="1"/>
  <c r="E92" i="1"/>
  <c r="D92" i="1"/>
  <c r="B92" i="1"/>
  <c r="A92" i="1"/>
  <c r="G91" i="1"/>
  <c r="F91" i="1"/>
  <c r="E91" i="1"/>
  <c r="D91" i="1"/>
  <c r="B91" i="1"/>
  <c r="A91" i="1"/>
  <c r="G90" i="1"/>
  <c r="F90" i="1"/>
  <c r="E90" i="1"/>
  <c r="D90" i="1"/>
  <c r="B90" i="1"/>
  <c r="A90" i="1"/>
  <c r="G89" i="1"/>
  <c r="F89" i="1"/>
  <c r="E89" i="1"/>
  <c r="D89" i="1"/>
  <c r="B89" i="1"/>
  <c r="A89" i="1"/>
  <c r="G88" i="1"/>
  <c r="F88" i="1"/>
  <c r="E88" i="1"/>
  <c r="D88" i="1"/>
  <c r="B88" i="1"/>
  <c r="A88" i="1"/>
  <c r="G87" i="1"/>
  <c r="F87" i="1"/>
  <c r="E87" i="1"/>
  <c r="D87" i="1"/>
  <c r="B87" i="1"/>
  <c r="A87" i="1"/>
  <c r="G86" i="1"/>
  <c r="F86" i="1"/>
  <c r="E86" i="1"/>
  <c r="D86" i="1"/>
  <c r="B86" i="1"/>
  <c r="A86" i="1"/>
  <c r="G85" i="1"/>
  <c r="F85" i="1"/>
  <c r="E85" i="1"/>
  <c r="D85" i="1"/>
  <c r="B85" i="1"/>
  <c r="A85" i="1"/>
  <c r="G84" i="1"/>
  <c r="F84" i="1"/>
  <c r="E84" i="1"/>
  <c r="D84" i="1"/>
  <c r="B84" i="1"/>
  <c r="A84" i="1"/>
  <c r="G83" i="1"/>
  <c r="F83" i="1"/>
  <c r="E83" i="1"/>
  <c r="D83" i="1"/>
  <c r="B83" i="1"/>
  <c r="A83" i="1"/>
  <c r="G82" i="1"/>
  <c r="F82" i="1"/>
  <c r="E82" i="1"/>
  <c r="D82" i="1"/>
  <c r="B82" i="1"/>
  <c r="A82" i="1"/>
  <c r="G81" i="1"/>
  <c r="F81" i="1"/>
  <c r="E81" i="1"/>
  <c r="D81" i="1"/>
  <c r="B81" i="1"/>
  <c r="A81" i="1"/>
  <c r="G80" i="1"/>
  <c r="F80" i="1"/>
  <c r="E80" i="1"/>
  <c r="D80" i="1"/>
  <c r="B80" i="1"/>
  <c r="A80" i="1"/>
  <c r="G79" i="1"/>
  <c r="F79" i="1"/>
  <c r="E79" i="1"/>
  <c r="D79" i="1"/>
  <c r="B79" i="1"/>
  <c r="A79" i="1"/>
  <c r="G78" i="1"/>
  <c r="F78" i="1"/>
  <c r="E78" i="1"/>
  <c r="D78" i="1"/>
  <c r="B78" i="1"/>
  <c r="A78" i="1"/>
  <c r="G77" i="1"/>
  <c r="F77" i="1"/>
  <c r="E77" i="1"/>
  <c r="D77" i="1"/>
  <c r="B77" i="1"/>
  <c r="A77" i="1"/>
  <c r="G76" i="1"/>
  <c r="F76" i="1"/>
  <c r="E76" i="1"/>
  <c r="D76" i="1"/>
  <c r="B76" i="1"/>
  <c r="A76" i="1"/>
  <c r="G75" i="1"/>
  <c r="F75" i="1"/>
  <c r="E75" i="1"/>
  <c r="D75" i="1"/>
  <c r="B75" i="1"/>
  <c r="A75" i="1"/>
  <c r="G74" i="1"/>
  <c r="F74" i="1"/>
  <c r="E74" i="1"/>
  <c r="D74" i="1"/>
  <c r="B74" i="1"/>
  <c r="A74" i="1"/>
  <c r="G73" i="1"/>
  <c r="F73" i="1"/>
  <c r="E73" i="1"/>
  <c r="D73" i="1"/>
  <c r="B73" i="1"/>
  <c r="A73" i="1"/>
  <c r="G72" i="1"/>
  <c r="F72" i="1"/>
  <c r="E72" i="1"/>
  <c r="D72" i="1"/>
  <c r="B72" i="1"/>
  <c r="A72" i="1"/>
  <c r="G71" i="1"/>
  <c r="F71" i="1"/>
  <c r="E71" i="1"/>
  <c r="D71" i="1"/>
  <c r="B71" i="1"/>
  <c r="A71" i="1"/>
  <c r="G70" i="1"/>
  <c r="F70" i="1"/>
  <c r="E70" i="1"/>
  <c r="D70" i="1"/>
  <c r="B70" i="1"/>
  <c r="A70" i="1"/>
  <c r="G69" i="1"/>
  <c r="F69" i="1"/>
  <c r="E69" i="1"/>
  <c r="D69" i="1"/>
  <c r="B69" i="1"/>
  <c r="A69" i="1"/>
  <c r="G68" i="1"/>
  <c r="F68" i="1"/>
  <c r="E68" i="1"/>
  <c r="D68" i="1"/>
  <c r="B68" i="1"/>
  <c r="A68" i="1"/>
  <c r="G67" i="1"/>
  <c r="F67" i="1"/>
  <c r="E67" i="1"/>
  <c r="D67" i="1"/>
  <c r="B67" i="1"/>
  <c r="A67" i="1"/>
  <c r="G66" i="1"/>
  <c r="F66" i="1"/>
  <c r="E66" i="1"/>
  <c r="D66" i="1"/>
  <c r="B66" i="1"/>
  <c r="A66" i="1"/>
  <c r="G65" i="1"/>
  <c r="F65" i="1"/>
  <c r="E65" i="1"/>
  <c r="D65" i="1"/>
  <c r="B65" i="1"/>
  <c r="A65" i="1"/>
  <c r="G64" i="1"/>
  <c r="F64" i="1"/>
  <c r="E64" i="1"/>
  <c r="D64" i="1"/>
  <c r="B64" i="1"/>
  <c r="A64" i="1"/>
  <c r="G63" i="1"/>
  <c r="F63" i="1"/>
  <c r="E63" i="1"/>
  <c r="D63" i="1"/>
  <c r="B63" i="1"/>
  <c r="A63" i="1"/>
  <c r="G62" i="1"/>
  <c r="F62" i="1"/>
  <c r="E62" i="1"/>
  <c r="D62" i="1"/>
  <c r="B62" i="1"/>
  <c r="A62" i="1"/>
  <c r="G61" i="1"/>
  <c r="F61" i="1"/>
  <c r="E61" i="1"/>
  <c r="D61" i="1"/>
  <c r="B61" i="1"/>
  <c r="A61" i="1"/>
  <c r="G60" i="1"/>
  <c r="F60" i="1"/>
  <c r="E60" i="1"/>
  <c r="D60" i="1"/>
  <c r="B60" i="1"/>
  <c r="A60" i="1"/>
  <c r="G59" i="1"/>
  <c r="F59" i="1"/>
  <c r="E59" i="1"/>
  <c r="D59" i="1"/>
  <c r="B59" i="1"/>
  <c r="A59" i="1"/>
  <c r="G58" i="1"/>
  <c r="F58" i="1"/>
  <c r="E58" i="1"/>
  <c r="D58" i="1"/>
  <c r="B58" i="1"/>
  <c r="A58" i="1"/>
  <c r="G57" i="1"/>
  <c r="F57" i="1"/>
  <c r="E57" i="1"/>
  <c r="D57" i="1"/>
  <c r="B57" i="1"/>
  <c r="A57" i="1"/>
  <c r="G56" i="1"/>
  <c r="F56" i="1"/>
  <c r="E56" i="1"/>
  <c r="D56" i="1"/>
  <c r="B56" i="1"/>
  <c r="A56" i="1"/>
  <c r="G55" i="1"/>
  <c r="F55" i="1"/>
  <c r="E55" i="1"/>
  <c r="D55" i="1"/>
  <c r="B55" i="1"/>
  <c r="A55" i="1"/>
  <c r="G54" i="1"/>
  <c r="F54" i="1"/>
  <c r="E54" i="1"/>
  <c r="D54" i="1"/>
  <c r="B54" i="1"/>
  <c r="A54" i="1"/>
  <c r="G53" i="1"/>
  <c r="F53" i="1"/>
  <c r="E53" i="1"/>
  <c r="D53" i="1"/>
  <c r="B53" i="1"/>
  <c r="A53" i="1"/>
  <c r="G52" i="1"/>
  <c r="F52" i="1"/>
  <c r="E52" i="1"/>
  <c r="D52" i="1"/>
  <c r="B52" i="1"/>
  <c r="A52" i="1"/>
  <c r="G51" i="1"/>
  <c r="F51" i="1"/>
  <c r="E51" i="1"/>
  <c r="D51" i="1"/>
  <c r="B51" i="1"/>
  <c r="A51" i="1"/>
  <c r="G50" i="1"/>
  <c r="F50" i="1"/>
  <c r="E50" i="1"/>
  <c r="D50" i="1"/>
  <c r="B50" i="1"/>
  <c r="A50" i="1"/>
  <c r="G49" i="1"/>
  <c r="F49" i="1"/>
  <c r="E49" i="1"/>
  <c r="D49" i="1"/>
  <c r="B49" i="1"/>
  <c r="A49" i="1"/>
  <c r="G48" i="1"/>
  <c r="F48" i="1"/>
  <c r="E48" i="1"/>
  <c r="D48" i="1"/>
  <c r="B48" i="1"/>
  <c r="A48" i="1"/>
  <c r="G47" i="1"/>
  <c r="F47" i="1"/>
  <c r="E47" i="1"/>
  <c r="D47" i="1"/>
  <c r="B47" i="1"/>
  <c r="A47" i="1"/>
  <c r="G46" i="1"/>
  <c r="F46" i="1"/>
  <c r="E46" i="1"/>
  <c r="D46" i="1"/>
  <c r="B46" i="1"/>
  <c r="A46" i="1"/>
  <c r="G45" i="1"/>
  <c r="F45" i="1"/>
  <c r="E45" i="1"/>
  <c r="D45" i="1"/>
  <c r="B45" i="1"/>
  <c r="A45" i="1"/>
  <c r="G44" i="1"/>
  <c r="F44" i="1"/>
  <c r="E44" i="1"/>
  <c r="D44" i="1"/>
  <c r="B44" i="1"/>
  <c r="A44" i="1"/>
  <c r="G43" i="1"/>
  <c r="F43" i="1"/>
  <c r="E43" i="1"/>
  <c r="D43" i="1"/>
  <c r="B43" i="1"/>
  <c r="A43" i="1"/>
  <c r="G42" i="1"/>
  <c r="F42" i="1"/>
  <c r="E42" i="1"/>
  <c r="D42" i="1"/>
  <c r="B42" i="1"/>
  <c r="A42" i="1"/>
  <c r="G41" i="1"/>
  <c r="F41" i="1"/>
  <c r="E41" i="1"/>
  <c r="D41" i="1"/>
  <c r="B41" i="1"/>
  <c r="A41" i="1"/>
  <c r="G40" i="1"/>
  <c r="F40" i="1"/>
  <c r="E40" i="1"/>
  <c r="D40" i="1"/>
  <c r="B40" i="1"/>
  <c r="A40" i="1"/>
  <c r="G39" i="1"/>
  <c r="F39" i="1"/>
  <c r="E39" i="1"/>
  <c r="D39" i="1"/>
  <c r="B39" i="1"/>
  <c r="A39" i="1"/>
  <c r="G38" i="1"/>
  <c r="F38" i="1"/>
  <c r="E38" i="1"/>
  <c r="D38" i="1"/>
  <c r="B38" i="1"/>
  <c r="A38" i="1"/>
  <c r="G37" i="1"/>
  <c r="F37" i="1"/>
  <c r="E37" i="1"/>
  <c r="D37" i="1"/>
  <c r="B37" i="1"/>
  <c r="A37" i="1"/>
  <c r="G36" i="1"/>
  <c r="F36" i="1"/>
  <c r="E36" i="1"/>
  <c r="D36" i="1"/>
  <c r="B36" i="1"/>
  <c r="A36" i="1"/>
  <c r="G35" i="1"/>
  <c r="F35" i="1"/>
  <c r="E35" i="1"/>
  <c r="D35" i="1"/>
  <c r="B35" i="1"/>
  <c r="A35" i="1"/>
  <c r="G34" i="1"/>
  <c r="F34" i="1"/>
  <c r="E34" i="1"/>
  <c r="D34" i="1"/>
  <c r="B34" i="1"/>
  <c r="A34" i="1"/>
  <c r="G33" i="1"/>
  <c r="F33" i="1"/>
  <c r="E33" i="1"/>
  <c r="D33" i="1"/>
  <c r="B33" i="1"/>
  <c r="A33" i="1"/>
  <c r="G32" i="1"/>
  <c r="F32" i="1"/>
  <c r="E32" i="1"/>
  <c r="D32" i="1"/>
  <c r="B32" i="1"/>
  <c r="A32" i="1"/>
  <c r="G31" i="1"/>
  <c r="F31" i="1"/>
  <c r="E31" i="1"/>
  <c r="D31" i="1"/>
  <c r="B31" i="1"/>
  <c r="A31" i="1"/>
  <c r="G30" i="1"/>
  <c r="F30" i="1"/>
  <c r="E30" i="1"/>
  <c r="D30" i="1"/>
  <c r="B30" i="1"/>
  <c r="A30" i="1"/>
  <c r="G29" i="1"/>
  <c r="F29" i="1"/>
  <c r="E29" i="1"/>
  <c r="D29" i="1"/>
  <c r="B29" i="1"/>
  <c r="A29" i="1"/>
  <c r="G28" i="1"/>
  <c r="F28" i="1"/>
  <c r="E28" i="1"/>
  <c r="D28" i="1"/>
  <c r="B28" i="1"/>
  <c r="A28" i="1"/>
  <c r="G27" i="1"/>
  <c r="F27" i="1"/>
  <c r="E27" i="1"/>
  <c r="D27" i="1"/>
  <c r="B27" i="1"/>
  <c r="A27" i="1"/>
  <c r="G26" i="1"/>
  <c r="F26" i="1"/>
  <c r="E26" i="1"/>
  <c r="D26" i="1"/>
  <c r="B26" i="1"/>
  <c r="A26" i="1"/>
  <c r="G25" i="1"/>
  <c r="F25" i="1"/>
  <c r="E25" i="1"/>
  <c r="D25" i="1"/>
  <c r="B25" i="1"/>
  <c r="A25" i="1"/>
  <c r="G24" i="1"/>
  <c r="F24" i="1"/>
  <c r="E24" i="1"/>
  <c r="D24" i="1"/>
  <c r="B24" i="1"/>
  <c r="A24" i="1"/>
  <c r="G23" i="1"/>
  <c r="F23" i="1"/>
  <c r="E23" i="1"/>
  <c r="D23" i="1"/>
  <c r="B23" i="1"/>
  <c r="A23" i="1"/>
  <c r="G22" i="1"/>
  <c r="F22" i="1"/>
  <c r="E22" i="1"/>
  <c r="D22" i="1"/>
  <c r="B22" i="1"/>
  <c r="A22" i="1"/>
  <c r="G21" i="1"/>
  <c r="F21" i="1"/>
  <c r="E21" i="1"/>
  <c r="D21" i="1"/>
  <c r="B21" i="1"/>
  <c r="A21" i="1"/>
  <c r="G20" i="1"/>
  <c r="F20" i="1"/>
  <c r="E20" i="1"/>
  <c r="D20" i="1"/>
  <c r="B20" i="1"/>
  <c r="A20" i="1"/>
  <c r="G19" i="1"/>
  <c r="F19" i="1"/>
  <c r="E19" i="1"/>
  <c r="D19" i="1"/>
  <c r="B19" i="1"/>
  <c r="A19" i="1"/>
  <c r="G18" i="1"/>
  <c r="F18" i="1"/>
  <c r="E18" i="1"/>
  <c r="D18" i="1"/>
  <c r="B18" i="1"/>
  <c r="A18" i="1"/>
  <c r="G17" i="1"/>
  <c r="F17" i="1"/>
  <c r="E17" i="1"/>
  <c r="D17" i="1"/>
  <c r="B17" i="1"/>
  <c r="A17" i="1"/>
  <c r="G16" i="1"/>
  <c r="F16" i="1"/>
  <c r="E16" i="1"/>
  <c r="D16" i="1"/>
  <c r="B16" i="1"/>
  <c r="A16" i="1"/>
  <c r="G15" i="1"/>
  <c r="F15" i="1"/>
  <c r="E15" i="1"/>
  <c r="D15" i="1"/>
  <c r="B15" i="1"/>
  <c r="A15" i="1"/>
  <c r="G14" i="1"/>
  <c r="F14" i="1"/>
  <c r="E14" i="1"/>
  <c r="D14" i="1"/>
  <c r="B14" i="1"/>
  <c r="A14" i="1"/>
  <c r="G13" i="1"/>
  <c r="F13" i="1"/>
  <c r="E13" i="1"/>
  <c r="D13" i="1"/>
  <c r="B13" i="1"/>
  <c r="A13" i="1"/>
  <c r="G12" i="1"/>
  <c r="F12" i="1"/>
  <c r="E12" i="1"/>
  <c r="D12" i="1"/>
  <c r="B12" i="1"/>
  <c r="A12" i="1"/>
  <c r="G11" i="1"/>
  <c r="F11" i="1"/>
  <c r="E11" i="1"/>
  <c r="D11" i="1"/>
  <c r="B11" i="1"/>
  <c r="A11" i="1"/>
  <c r="G10" i="1"/>
  <c r="F10" i="1"/>
  <c r="E10" i="1"/>
  <c r="D10" i="1"/>
  <c r="B10" i="1"/>
  <c r="A10" i="1"/>
  <c r="G9" i="1"/>
  <c r="F9" i="1"/>
  <c r="E9" i="1"/>
  <c r="D9" i="1"/>
  <c r="B9" i="1"/>
  <c r="A9" i="1"/>
  <c r="G8" i="1"/>
  <c r="F8" i="1"/>
  <c r="E8" i="1"/>
  <c r="D8" i="1"/>
  <c r="B8" i="1"/>
  <c r="A8" i="1"/>
  <c r="G7" i="1"/>
  <c r="F7" i="1"/>
  <c r="E7" i="1"/>
  <c r="D7" i="1"/>
  <c r="B7" i="1"/>
  <c r="A7" i="1"/>
  <c r="G6" i="1"/>
  <c r="F6" i="1"/>
  <c r="E6" i="1"/>
  <c r="D6" i="1"/>
  <c r="B6" i="1"/>
  <c r="A6" i="1"/>
  <c r="G5" i="1"/>
  <c r="F5" i="1"/>
  <c r="E5" i="1"/>
  <c r="D5" i="1"/>
  <c r="B5" i="1"/>
  <c r="A5" i="1"/>
</calcChain>
</file>

<file path=xl/sharedStrings.xml><?xml version="1.0" encoding="utf-8"?>
<sst xmlns="http://schemas.openxmlformats.org/spreadsheetml/2006/main" count="38" uniqueCount="17">
  <si>
    <t>TITLE</t>
  </si>
  <si>
    <t>ISBN</t>
  </si>
  <si>
    <t>PRICE</t>
  </si>
  <si>
    <t>CURR</t>
  </si>
  <si>
    <t>YEAR</t>
  </si>
  <si>
    <t>AUTHOR</t>
  </si>
  <si>
    <t>DISTRIBUTOR</t>
  </si>
  <si>
    <t>BIOCHEMISTRY</t>
  </si>
  <si>
    <t>CHEMISTRY and BIOLOGY</t>
  </si>
  <si>
    <t>="CHEESE AND BUTTER, HB    "N E W""</t>
  </si>
  <si>
    <t>FOOD SCIENCE</t>
  </si>
  <si>
    <t>="Advances In Aquatic Ecology Vol. 7, HB    "N E W""</t>
  </si>
  <si>
    <t>="APPLIED HYDROMETEOROLOGY, HB        "BEST-SELLER""</t>
  </si>
  <si>
    <t>="HANDBOOK OF FLOOD MANAGEMENT : Flood Recovery Innovation And Response Management, Set of 2 vols, HB        "BEST-SELLER""</t>
  </si>
  <si>
    <t xml:space="preserve">="Integrated management of Insect Pests on Canola and other </t>
  </si>
  <si>
    <t>="WIND POWER : Alternative Energy Source, HB        "BEST-SELLER""</t>
  </si>
  <si>
    <t>WATER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</si>
</sst>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86"/>
  <sheetViews>
    <sheetView tabSelected="1" topLeftCell="A3868" workbookViewId="0">
      <selection activeCell="A2593" sqref="A2593:G2594"/>
    </sheetView>
  </sheetViews>
  <sheetFormatPr defaultRowHeight="15" x14ac:dyDescent="0.25"/>
  <cols>
    <col min="1" max="1" width="72.42578125" customWidth="1"/>
    <col min="2" max="2" width="14.140625" bestFit="1" customWidth="1"/>
    <col min="3" max="3" width="7.7109375" bestFit="1" customWidth="1"/>
    <col min="4" max="4" width="7.28515625" bestFit="1" customWidth="1"/>
    <col min="5" max="5" width="7" bestFit="1" customWidth="1"/>
    <col min="6" max="6" width="22.42578125" bestFit="1" customWidth="1"/>
    <col min="7" max="7" width="18.140625" bestFit="1" customWidth="1"/>
  </cols>
  <sheetData>
    <row r="2" spans="1:7" ht="15" customHeight="1" x14ac:dyDescent="0.25">
      <c r="A2" s="1" t="s">
        <v>7</v>
      </c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x14ac:dyDescent="0.25">
      <c r="A5" t="str">
        <f>"A Case Oriented Approach Towards Biochemistry"</f>
        <v>A Case Oriented Approach Towards Biochemistry</v>
      </c>
      <c r="B5" t="str">
        <f>"9789350901885"</f>
        <v>9789350901885</v>
      </c>
      <c r="C5">
        <v>21</v>
      </c>
      <c r="D5" t="str">
        <f>"USD"</f>
        <v>USD</v>
      </c>
      <c r="E5" t="str">
        <f>"2013"</f>
        <v>2013</v>
      </c>
      <c r="F5" t="str">
        <f>"Namrata Chhabra"</f>
        <v>Namrata Chhabra</v>
      </c>
      <c r="G5" t="str">
        <f>"Parsian Publication"</f>
        <v>Parsian Publication</v>
      </c>
    </row>
    <row r="6" spans="1:7" x14ac:dyDescent="0.25">
      <c r="A6" t="str">
        <f>"An Easy Guide for Practical Biochemistry"</f>
        <v>An Easy Guide for Practical Biochemistry</v>
      </c>
      <c r="B6" t="str">
        <f>"9789352702633"</f>
        <v>9789352702633</v>
      </c>
      <c r="C6">
        <v>25.5</v>
      </c>
      <c r="D6" t="str">
        <f>"USD"</f>
        <v>USD</v>
      </c>
      <c r="E6" t="str">
        <f>"2018"</f>
        <v>2018</v>
      </c>
      <c r="F6" t="str">
        <f>"Shanthi"</f>
        <v>Shanthi</v>
      </c>
      <c r="G6" t="str">
        <f>"arang"</f>
        <v>arang</v>
      </c>
    </row>
    <row r="7" spans="1:7" x14ac:dyDescent="0.25">
      <c r="A7" t="str">
        <f>"An Easy Guide for Practical Biochemistry"</f>
        <v>An Easy Guide for Practical Biochemistry</v>
      </c>
      <c r="B7" t="str">
        <f>"9789352702633"</f>
        <v>9789352702633</v>
      </c>
      <c r="C7">
        <v>25.5</v>
      </c>
      <c r="D7" t="str">
        <f>"USD"</f>
        <v>USD</v>
      </c>
      <c r="E7" t="str">
        <f>"2018"</f>
        <v>2018</v>
      </c>
      <c r="F7" t="str">
        <f>"Shanthi"</f>
        <v>Shanthi</v>
      </c>
      <c r="G7" t="str">
        <f>"Parsian Publication"</f>
        <v>Parsian Publication</v>
      </c>
    </row>
    <row r="8" spans="1:7" x14ac:dyDescent="0.25">
      <c r="A8" t="str">
        <f>"Applications of Domino Transformations in Organic Synthesis, Volume 1"</f>
        <v>Applications of Domino Transformations in Organic Synthesis, Volume 1</v>
      </c>
      <c r="B8" t="str">
        <f>"9783131731418"</f>
        <v>9783131731418</v>
      </c>
      <c r="C8">
        <v>195</v>
      </c>
      <c r="D8" t="str">
        <f t="shared" ref="D8:D13" si="0">"EUR"</f>
        <v>EUR</v>
      </c>
      <c r="E8" t="str">
        <f t="shared" ref="E8:E13" si="1">"2016"</f>
        <v>2016</v>
      </c>
      <c r="F8" t="str">
        <f>"Carreira"</f>
        <v>Carreira</v>
      </c>
      <c r="G8" t="str">
        <f>"arang"</f>
        <v>arang</v>
      </c>
    </row>
    <row r="9" spans="1:7" x14ac:dyDescent="0.25">
      <c r="A9" t="str">
        <f>"Applications of Domino Transformations in Organic Synthesis, Volume 1"</f>
        <v>Applications of Domino Transformations in Organic Synthesis, Volume 1</v>
      </c>
      <c r="B9" t="str">
        <f>"9783131731418"</f>
        <v>9783131731418</v>
      </c>
      <c r="C9">
        <v>195</v>
      </c>
      <c r="D9" t="str">
        <f t="shared" si="0"/>
        <v>EUR</v>
      </c>
      <c r="E9" t="str">
        <f t="shared" si="1"/>
        <v>2016</v>
      </c>
      <c r="F9" t="str">
        <f>"Carreira"</f>
        <v>Carreira</v>
      </c>
      <c r="G9" t="str">
        <f>"Parsian Publication"</f>
        <v>Parsian Publication</v>
      </c>
    </row>
    <row r="10" spans="1:7" x14ac:dyDescent="0.25">
      <c r="A10" t="str">
        <f>"Applications of Domino Transformations in Organic Synthesis, Volume 2"</f>
        <v>Applications of Domino Transformations in Organic Synthesis, Volume 2</v>
      </c>
      <c r="B10" t="str">
        <f>"9783132211513"</f>
        <v>9783132211513</v>
      </c>
      <c r="C10">
        <v>195</v>
      </c>
      <c r="D10" t="str">
        <f t="shared" si="0"/>
        <v>EUR</v>
      </c>
      <c r="E10" t="str">
        <f t="shared" si="1"/>
        <v>2016</v>
      </c>
      <c r="F10" t="str">
        <f>"Carreira"</f>
        <v>Carreira</v>
      </c>
      <c r="G10" t="str">
        <f>"Parsian Publication"</f>
        <v>Parsian Publication</v>
      </c>
    </row>
    <row r="11" spans="1:7" x14ac:dyDescent="0.25">
      <c r="A11" t="str">
        <f>"Applications of Domino Transformations in Organic Synthesis, Volume 2"</f>
        <v>Applications of Domino Transformations in Organic Synthesis, Volume 2</v>
      </c>
      <c r="B11" t="str">
        <f>"9783132211513"</f>
        <v>9783132211513</v>
      </c>
      <c r="C11">
        <v>195</v>
      </c>
      <c r="D11" t="str">
        <f t="shared" si="0"/>
        <v>EUR</v>
      </c>
      <c r="E11" t="str">
        <f t="shared" si="1"/>
        <v>2016</v>
      </c>
      <c r="F11" t="str">
        <f>"Carreira"</f>
        <v>Carreira</v>
      </c>
      <c r="G11" t="str">
        <f>"arang"</f>
        <v>arang</v>
      </c>
    </row>
    <row r="12" spans="1:7" x14ac:dyDescent="0.25">
      <c r="A12" t="str">
        <f>"Applications of Domino Transformations in Organic Synthesis, Workbench Edition"</f>
        <v>Applications of Domino Transformations in Organic Synthesis, Workbench Edition</v>
      </c>
      <c r="B12" t="str">
        <f>"9783132401631"</f>
        <v>9783132401631</v>
      </c>
      <c r="C12">
        <v>337.5</v>
      </c>
      <c r="D12" t="str">
        <f t="shared" si="0"/>
        <v>EUR</v>
      </c>
      <c r="E12" t="str">
        <f t="shared" si="1"/>
        <v>2016</v>
      </c>
      <c r="F12" t="str">
        <f>"Snyder"</f>
        <v>Snyder</v>
      </c>
      <c r="G12" t="str">
        <f>"arang"</f>
        <v>arang</v>
      </c>
    </row>
    <row r="13" spans="1:7" x14ac:dyDescent="0.25">
      <c r="A13" t="str">
        <f>"Applications of Domino Transformations in Organic Synthesis, Workbench Edition"</f>
        <v>Applications of Domino Transformations in Organic Synthesis, Workbench Edition</v>
      </c>
      <c r="B13" t="str">
        <f>"9783132401631"</f>
        <v>9783132401631</v>
      </c>
      <c r="C13">
        <v>337.5</v>
      </c>
      <c r="D13" t="str">
        <f t="shared" si="0"/>
        <v>EUR</v>
      </c>
      <c r="E13" t="str">
        <f t="shared" si="1"/>
        <v>2016</v>
      </c>
      <c r="F13" t="str">
        <f>"Snyder"</f>
        <v>Snyder</v>
      </c>
      <c r="G13" t="str">
        <f t="shared" ref="G13:G18" si="2">"Parsian Publication"</f>
        <v>Parsian Publication</v>
      </c>
    </row>
    <row r="14" spans="1:7" x14ac:dyDescent="0.25">
      <c r="A14" t="str">
        <f>"Baynes And Dominiczak's Medical Biochemistry Flash Cards"</f>
        <v>Baynes And Dominiczak's Medical Biochemistry Flash Cards</v>
      </c>
      <c r="B14" t="str">
        <f>"9780323081931"</f>
        <v>9780323081931</v>
      </c>
      <c r="C14">
        <v>24</v>
      </c>
      <c r="D14" t="str">
        <f>"USD"</f>
        <v>USD</v>
      </c>
      <c r="E14" t="str">
        <f>"2012"</f>
        <v>2012</v>
      </c>
      <c r="F14" t="str">
        <f>"Dominiczak"</f>
        <v>Dominiczak</v>
      </c>
      <c r="G14" t="str">
        <f t="shared" si="2"/>
        <v>Parsian Publication</v>
      </c>
    </row>
    <row r="15" spans="1:7" x14ac:dyDescent="0.25">
      <c r="A15" t="str">
        <f>"Biocatalysis in Organic Synthesis 1, Workbench Edition"</f>
        <v>Biocatalysis in Organic Synthesis 1, Workbench Edition</v>
      </c>
      <c r="B15" t="str">
        <f>"9783131741417"</f>
        <v>9783131741417</v>
      </c>
      <c r="C15">
        <v>195</v>
      </c>
      <c r="D15" t="str">
        <f>"EUR"</f>
        <v>EUR</v>
      </c>
      <c r="E15" t="str">
        <f>"2015"</f>
        <v>2015</v>
      </c>
      <c r="F15" t="str">
        <f>"Faber"</f>
        <v>Faber</v>
      </c>
      <c r="G15" t="str">
        <f t="shared" si="2"/>
        <v>Parsian Publication</v>
      </c>
    </row>
    <row r="16" spans="1:7" x14ac:dyDescent="0.25">
      <c r="A16" t="str">
        <f>"Biocatalysis in Organic Synthesis 2, Workbench Edition"</f>
        <v>Biocatalysis in Organic Synthesis 2, Workbench Edition</v>
      </c>
      <c r="B16" t="str">
        <f>"9783131741714"</f>
        <v>9783131741714</v>
      </c>
      <c r="C16">
        <v>195</v>
      </c>
      <c r="D16" t="str">
        <f>"EUR"</f>
        <v>EUR</v>
      </c>
      <c r="E16" t="str">
        <f>"2015"</f>
        <v>2015</v>
      </c>
      <c r="F16" t="str">
        <f>"Faber"</f>
        <v>Faber</v>
      </c>
      <c r="G16" t="str">
        <f t="shared" si="2"/>
        <v>Parsian Publication</v>
      </c>
    </row>
    <row r="17" spans="1:7" x14ac:dyDescent="0.25">
      <c r="A17" t="str">
        <f>"Biocatalysis in Organic Synthesis 3, Workbench Edition"</f>
        <v>Biocatalysis in Organic Synthesis 3, Workbench Edition</v>
      </c>
      <c r="B17" t="str">
        <f>"9783131746719"</f>
        <v>9783131746719</v>
      </c>
      <c r="C17">
        <v>195</v>
      </c>
      <c r="D17" t="str">
        <f>"EUR"</f>
        <v>EUR</v>
      </c>
      <c r="E17" t="str">
        <f>"2015"</f>
        <v>2015</v>
      </c>
      <c r="F17" t="str">
        <f>"Faber"</f>
        <v>Faber</v>
      </c>
      <c r="G17" t="str">
        <f t="shared" si="2"/>
        <v>Parsian Publication</v>
      </c>
    </row>
    <row r="18" spans="1:7" x14ac:dyDescent="0.25">
      <c r="A18" t="str">
        <f>"Biochemistry"</f>
        <v>Biochemistry</v>
      </c>
      <c r="B18" t="str">
        <f>"9781608314126"</f>
        <v>9781608314126</v>
      </c>
      <c r="C18">
        <v>33.5</v>
      </c>
      <c r="D18" t="str">
        <f t="shared" ref="D18:D33" si="3">"USD"</f>
        <v>USD</v>
      </c>
      <c r="E18" t="str">
        <f>"2010"</f>
        <v>2010</v>
      </c>
      <c r="F18" t="str">
        <f>"Richard A Harvey  Ph"</f>
        <v>Richard A Harvey  Ph</v>
      </c>
      <c r="G18" t="str">
        <f t="shared" si="2"/>
        <v>Parsian Publication</v>
      </c>
    </row>
    <row r="19" spans="1:7" x14ac:dyDescent="0.25">
      <c r="A19" t="str">
        <f>"Biochemistry"</f>
        <v>Biochemistry</v>
      </c>
      <c r="B19" t="str">
        <f>"9789351529897"</f>
        <v>9789351529897</v>
      </c>
      <c r="C19">
        <v>45</v>
      </c>
      <c r="D19" t="str">
        <f t="shared" si="3"/>
        <v>USD</v>
      </c>
      <c r="E19" t="str">
        <f>"2016"</f>
        <v>2016</v>
      </c>
      <c r="F19" t="str">
        <f>"Naik"</f>
        <v>Naik</v>
      </c>
      <c r="G19" t="str">
        <f>"arang"</f>
        <v>arang</v>
      </c>
    </row>
    <row r="20" spans="1:7" x14ac:dyDescent="0.25">
      <c r="A20" t="str">
        <f>"Biochemistry"</f>
        <v>Biochemistry</v>
      </c>
      <c r="B20" t="str">
        <f>"9781429229364"</f>
        <v>9781429229364</v>
      </c>
      <c r="C20">
        <v>161.1</v>
      </c>
      <c r="D20" t="str">
        <f t="shared" si="3"/>
        <v>USD</v>
      </c>
      <c r="E20" t="str">
        <f>"2010"</f>
        <v>2010</v>
      </c>
      <c r="F20" t="str">
        <f>"Berg"</f>
        <v>Berg</v>
      </c>
      <c r="G20" t="str">
        <f t="shared" ref="G20:G28" si="4">"Parsian Publication"</f>
        <v>Parsian Publication</v>
      </c>
    </row>
    <row r="21" spans="1:7" x14ac:dyDescent="0.25">
      <c r="A21" t="str">
        <f>"Biochemistry"</f>
        <v>Biochemistry</v>
      </c>
      <c r="B21" t="str">
        <f>"9789351529897"</f>
        <v>9789351529897</v>
      </c>
      <c r="C21">
        <v>45</v>
      </c>
      <c r="D21" t="str">
        <f t="shared" si="3"/>
        <v>USD</v>
      </c>
      <c r="E21" t="str">
        <f>"2016"</f>
        <v>2016</v>
      </c>
      <c r="F21" t="str">
        <f>"Naik"</f>
        <v>Naik</v>
      </c>
      <c r="G21" t="str">
        <f t="shared" si="4"/>
        <v>Parsian Publication</v>
      </c>
    </row>
    <row r="22" spans="1:7" x14ac:dyDescent="0.25">
      <c r="A22" t="str">
        <f>"Biochemistry Demystified"</f>
        <v>Biochemistry Demystified</v>
      </c>
      <c r="B22" t="str">
        <f>"9780071495998"</f>
        <v>9780071495998</v>
      </c>
      <c r="C22">
        <v>8.8000000000000007</v>
      </c>
      <c r="D22" t="str">
        <f t="shared" si="3"/>
        <v>USD</v>
      </c>
      <c r="E22" t="str">
        <f>"2008"</f>
        <v>2008</v>
      </c>
      <c r="F22" t="str">
        <f>"Walker"</f>
        <v>Walker</v>
      </c>
      <c r="G22" t="str">
        <f t="shared" si="4"/>
        <v>Parsian Publication</v>
      </c>
    </row>
    <row r="23" spans="1:7" x14ac:dyDescent="0.25">
      <c r="A23" t="str">
        <f>"Biopolymers: Reuse, Recycling, and Disposal (Plastics Design Library"</f>
        <v>Biopolymers: Reuse, Recycling, and Disposal (Plastics Design Library</v>
      </c>
      <c r="B23" t="str">
        <f>"9781455731459"</f>
        <v>9781455731459</v>
      </c>
      <c r="C23">
        <v>119.4</v>
      </c>
      <c r="D23" t="str">
        <f t="shared" si="3"/>
        <v>USD</v>
      </c>
      <c r="E23" t="str">
        <f>"2013"</f>
        <v>2013</v>
      </c>
      <c r="F23" t="str">
        <f>"Kahan"</f>
        <v>Kahan</v>
      </c>
      <c r="G23" t="str">
        <f t="shared" si="4"/>
        <v>Parsian Publication</v>
      </c>
    </row>
    <row r="24" spans="1:7" x14ac:dyDescent="0.25">
      <c r="A24" t="str">
        <f>"Brs Biochemistry, Molecular Biology, And Genetics"</f>
        <v>Brs Biochemistry, Molecular Biology, And Genetics</v>
      </c>
      <c r="B24" t="str">
        <f>"9780781798754"</f>
        <v>9780781798754</v>
      </c>
      <c r="C24">
        <v>23</v>
      </c>
      <c r="D24" t="str">
        <f t="shared" si="3"/>
        <v>USD</v>
      </c>
      <c r="E24" t="str">
        <f>"2010"</f>
        <v>2010</v>
      </c>
      <c r="F24" t="str">
        <f>"Swanson"</f>
        <v>Swanson</v>
      </c>
      <c r="G24" t="str">
        <f t="shared" si="4"/>
        <v>Parsian Publication</v>
      </c>
    </row>
    <row r="25" spans="1:7" x14ac:dyDescent="0.25">
      <c r="A25" t="str">
        <f>"Case Files Biochemistry2014"</f>
        <v>Case Files Biochemistry2014</v>
      </c>
      <c r="B25" t="str">
        <f>"9781259072376"</f>
        <v>9781259072376</v>
      </c>
      <c r="C25">
        <v>21.25</v>
      </c>
      <c r="D25" t="str">
        <f t="shared" si="3"/>
        <v>USD</v>
      </c>
      <c r="E25" t="str">
        <f>"2014"</f>
        <v>2014</v>
      </c>
      <c r="F25" t="str">
        <f>"Toy"</f>
        <v>Toy</v>
      </c>
      <c r="G25" t="str">
        <f t="shared" si="4"/>
        <v>Parsian Publication</v>
      </c>
    </row>
    <row r="26" spans="1:7" x14ac:dyDescent="0.25">
      <c r="A26" t="str">
        <f>"Chemicon Preparatory Manual for Undergraduates Biochemistry"</f>
        <v>Chemicon Preparatory Manual for Undergraduates Biochemistry</v>
      </c>
      <c r="B26" t="str">
        <f>"9789351526360"</f>
        <v>9789351526360</v>
      </c>
      <c r="C26">
        <v>21</v>
      </c>
      <c r="D26" t="str">
        <f t="shared" si="3"/>
        <v>USD</v>
      </c>
      <c r="E26" t="str">
        <f>"2015"</f>
        <v>2015</v>
      </c>
      <c r="F26" t="str">
        <f>"Lakshmi"</f>
        <v>Lakshmi</v>
      </c>
      <c r="G26" t="str">
        <f t="shared" si="4"/>
        <v>Parsian Publication</v>
      </c>
    </row>
    <row r="27" spans="1:7" x14ac:dyDescent="0.25">
      <c r="A27" t="str">
        <f>"Chemistry: The Molecular Nature of Matter and Change"</f>
        <v>Chemistry: The Molecular Nature of Matter and Change</v>
      </c>
      <c r="B27" t="str">
        <f>"9780073511177"</f>
        <v>9780073511177</v>
      </c>
      <c r="C27">
        <v>253.3</v>
      </c>
      <c r="D27" t="str">
        <f t="shared" si="3"/>
        <v>USD</v>
      </c>
      <c r="E27" t="str">
        <f>"2014"</f>
        <v>2014</v>
      </c>
      <c r="F27" t="str">
        <f>"Amateis"</f>
        <v>Amateis</v>
      </c>
      <c r="G27" t="str">
        <f t="shared" si="4"/>
        <v>Parsian Publication</v>
      </c>
    </row>
    <row r="28" spans="1:7" x14ac:dyDescent="0.25">
      <c r="A28" t="str">
        <f>"Clinical Biochemistry"</f>
        <v>Clinical Biochemistry</v>
      </c>
      <c r="B28" t="str">
        <f>"9789386150196"</f>
        <v>9789386150196</v>
      </c>
      <c r="C28">
        <v>24</v>
      </c>
      <c r="D28" t="str">
        <f t="shared" si="3"/>
        <v>USD</v>
      </c>
      <c r="E28" t="str">
        <f>"2017"</f>
        <v>2017</v>
      </c>
      <c r="F28" t="str">
        <f>"Maheshwari"</f>
        <v>Maheshwari</v>
      </c>
      <c r="G28" t="str">
        <f t="shared" si="4"/>
        <v>Parsian Publication</v>
      </c>
    </row>
    <row r="29" spans="1:7" x14ac:dyDescent="0.25">
      <c r="A29" t="str">
        <f>"Clinical Biochemistry"</f>
        <v>Clinical Biochemistry</v>
      </c>
      <c r="B29" t="str">
        <f>"9789386150196"</f>
        <v>9789386150196</v>
      </c>
      <c r="C29">
        <v>24</v>
      </c>
      <c r="D29" t="str">
        <f t="shared" si="3"/>
        <v>USD</v>
      </c>
      <c r="E29" t="str">
        <f>"2017"</f>
        <v>2017</v>
      </c>
      <c r="F29" t="str">
        <f>"Maheshwari"</f>
        <v>Maheshwari</v>
      </c>
      <c r="G29" t="str">
        <f>"arang"</f>
        <v>arang</v>
      </c>
    </row>
    <row r="30" spans="1:7" x14ac:dyDescent="0.25">
      <c r="A30" t="str">
        <f>"Clinical Biochemistry, An Illustrated Colour Text"</f>
        <v>Clinical Biochemistry, An Illustrated Colour Text</v>
      </c>
      <c r="B30" t="str">
        <f>"9780702051791"</f>
        <v>9780702051791</v>
      </c>
      <c r="C30">
        <v>31.8</v>
      </c>
      <c r="D30" t="str">
        <f t="shared" si="3"/>
        <v>USD</v>
      </c>
      <c r="E30" t="str">
        <f>"2013"</f>
        <v>2013</v>
      </c>
      <c r="F30" t="str">
        <f>"Gaw, Murphy, Srivast"</f>
        <v>Gaw, Murphy, Srivast</v>
      </c>
      <c r="G30" t="str">
        <f>"Parsian Publication"</f>
        <v>Parsian Publication</v>
      </c>
    </row>
    <row r="31" spans="1:7" x14ac:dyDescent="0.25">
      <c r="A31" t="str">
        <f>"Clinical Biochemistry:Metabolic and Clinical Aspects, With Expert Consult access"</f>
        <v>Clinical Biochemistry:Metabolic and Clinical Aspects, With Expert Consult access</v>
      </c>
      <c r="B31" t="str">
        <f>"9780702051401"</f>
        <v>9780702051401</v>
      </c>
      <c r="C31">
        <v>83.2</v>
      </c>
      <c r="D31" t="str">
        <f t="shared" si="3"/>
        <v>USD</v>
      </c>
      <c r="E31" t="str">
        <f>"2014"</f>
        <v>2014</v>
      </c>
      <c r="F31" t="str">
        <f>"Marshall"</f>
        <v>Marshall</v>
      </c>
      <c r="G31" t="str">
        <f>"Parsian Publication"</f>
        <v>Parsian Publication</v>
      </c>
    </row>
    <row r="32" spans="1:7" x14ac:dyDescent="0.25">
      <c r="A32" t="str">
        <f>"Clinical Chemistry, International Edition, With STUDENT CONSULT Access"</f>
        <v>Clinical Chemistry, International Edition, With STUDENT CONSULT Access</v>
      </c>
      <c r="B32" t="str">
        <f>"9780723438823"</f>
        <v>9780723438823</v>
      </c>
      <c r="C32">
        <v>30</v>
      </c>
      <c r="D32" t="str">
        <f t="shared" si="3"/>
        <v>USD</v>
      </c>
      <c r="E32" t="str">
        <f>"2016"</f>
        <v>2016</v>
      </c>
      <c r="F32" t="str">
        <f>"Marshall, Lapsley &amp; "</f>
        <v xml:space="preserve">Marshall, Lapsley &amp; </v>
      </c>
      <c r="G32" t="str">
        <f>"arang"</f>
        <v>arang</v>
      </c>
    </row>
    <row r="33" spans="1:7" x14ac:dyDescent="0.25">
      <c r="A33" t="str">
        <f>"Clinical Chemistry, International Edition, With STUDENT CONSULT Access"</f>
        <v>Clinical Chemistry, International Edition, With STUDENT CONSULT Access</v>
      </c>
      <c r="B33" t="str">
        <f>"9780723438823"</f>
        <v>9780723438823</v>
      </c>
      <c r="C33">
        <v>30</v>
      </c>
      <c r="D33" t="str">
        <f t="shared" si="3"/>
        <v>USD</v>
      </c>
      <c r="E33" t="str">
        <f>"2016"</f>
        <v>2016</v>
      </c>
      <c r="F33" t="str">
        <f>"Marshall, Lapsley &amp; "</f>
        <v xml:space="preserve">Marshall, Lapsley &amp; </v>
      </c>
      <c r="G33" t="str">
        <f>"Parsian Publication"</f>
        <v>Parsian Publication</v>
      </c>
    </row>
    <row r="34" spans="1:7" x14ac:dyDescent="0.25">
      <c r="A34" t="str">
        <f>"Color Atlas of Biochemistry"</f>
        <v>Color Atlas of Biochemistry</v>
      </c>
      <c r="B34" t="str">
        <f>"9783131003737"</f>
        <v>9783131003737</v>
      </c>
      <c r="C34">
        <v>31.5</v>
      </c>
      <c r="D34" t="str">
        <f>"EUR"</f>
        <v>EUR</v>
      </c>
      <c r="E34" t="str">
        <f>"2013"</f>
        <v>2013</v>
      </c>
      <c r="F34" t="str">
        <f>"Koolman"</f>
        <v>Koolman</v>
      </c>
      <c r="G34" t="str">
        <f>"Parsian Publication"</f>
        <v>Parsian Publication</v>
      </c>
    </row>
    <row r="35" spans="1:7" x14ac:dyDescent="0.25">
      <c r="A35" t="str">
        <f>"Concise Textbook of Biochemistry for Paramedical Students"</f>
        <v>Concise Textbook of Biochemistry for Paramedical Students</v>
      </c>
      <c r="B35" t="str">
        <f>"9789351529996"</f>
        <v>9789351529996</v>
      </c>
      <c r="C35">
        <v>15</v>
      </c>
      <c r="D35" t="str">
        <f t="shared" ref="D35:D48" si="5">"USD"</f>
        <v>USD</v>
      </c>
      <c r="E35" t="str">
        <f>"2016"</f>
        <v>2016</v>
      </c>
      <c r="F35" t="str">
        <f>"Vasudevan"</f>
        <v>Vasudevan</v>
      </c>
      <c r="G35" t="str">
        <f>"arang"</f>
        <v>arang</v>
      </c>
    </row>
    <row r="36" spans="1:7" x14ac:dyDescent="0.25">
      <c r="A36" t="str">
        <f>"Concise Textbook of Biochemistry for Paramedical Students"</f>
        <v>Concise Textbook of Biochemistry for Paramedical Students</v>
      </c>
      <c r="B36" t="str">
        <f>"9789351529996"</f>
        <v>9789351529996</v>
      </c>
      <c r="C36">
        <v>15</v>
      </c>
      <c r="D36" t="str">
        <f t="shared" si="5"/>
        <v>USD</v>
      </c>
      <c r="E36" t="str">
        <f>"2016"</f>
        <v>2016</v>
      </c>
      <c r="F36" t="str">
        <f>"Vasudevan"</f>
        <v>Vasudevan</v>
      </c>
      <c r="G36" t="str">
        <f>"Parsian Publication"</f>
        <v>Parsian Publication</v>
      </c>
    </row>
    <row r="37" spans="1:7" x14ac:dyDescent="0.25">
      <c r="A37" t="str">
        <f>"Elsevier's Integrated Review Biochemistry, With Student Consult Online Access"</f>
        <v>Elsevier's Integrated Review Biochemistry, With Student Consult Online Access</v>
      </c>
      <c r="B37" t="str">
        <f>"9780323074469"</f>
        <v>9780323074469</v>
      </c>
      <c r="C37">
        <v>23.65</v>
      </c>
      <c r="D37" t="str">
        <f t="shared" si="5"/>
        <v>USD</v>
      </c>
      <c r="E37" t="str">
        <f>"2011"</f>
        <v>2011</v>
      </c>
      <c r="F37" t="str">
        <f>"Pelley"</f>
        <v>Pelley</v>
      </c>
      <c r="G37" t="str">
        <f>"Parsian Publication"</f>
        <v>Parsian Publication</v>
      </c>
    </row>
    <row r="38" spans="1:7" x14ac:dyDescent="0.25">
      <c r="A38" t="str">
        <f>"Environmental Science A Study Of Interrelationships"</f>
        <v>Environmental Science A Study Of Interrelationships</v>
      </c>
      <c r="B38" t="str">
        <f>"9781259253089"</f>
        <v>9781259253089</v>
      </c>
      <c r="C38">
        <v>72.25</v>
      </c>
      <c r="D38" t="str">
        <f t="shared" si="5"/>
        <v>USD</v>
      </c>
      <c r="E38" t="str">
        <f>"2016"</f>
        <v>2016</v>
      </c>
      <c r="F38" t="str">
        <f>"Smith"</f>
        <v>Smith</v>
      </c>
      <c r="G38" t="str">
        <f>"Parsian Publication"</f>
        <v>Parsian Publication</v>
      </c>
    </row>
    <row r="39" spans="1:7" x14ac:dyDescent="0.25">
      <c r="A39" t="str">
        <f>"Environmental Science A Study Of Interrelationships"</f>
        <v>Environmental Science A Study Of Interrelationships</v>
      </c>
      <c r="B39" t="str">
        <f>"9781259253089"</f>
        <v>9781259253089</v>
      </c>
      <c r="C39">
        <v>72.25</v>
      </c>
      <c r="D39" t="str">
        <f t="shared" si="5"/>
        <v>USD</v>
      </c>
      <c r="E39" t="str">
        <f>"2016"</f>
        <v>2016</v>
      </c>
      <c r="F39" t="str">
        <f>"Smith"</f>
        <v>Smith</v>
      </c>
      <c r="G39" t="str">
        <f>"arang"</f>
        <v>arang</v>
      </c>
    </row>
    <row r="40" spans="1:7" x14ac:dyDescent="0.25">
      <c r="A40" t="str">
        <f>"Essential Biochemistry"</f>
        <v>Essential Biochemistry</v>
      </c>
      <c r="B40" t="str">
        <f>"9780470504772"</f>
        <v>9780470504772</v>
      </c>
      <c r="C40">
        <v>101.2</v>
      </c>
      <c r="D40" t="str">
        <f t="shared" si="5"/>
        <v>USD</v>
      </c>
      <c r="E40" t="str">
        <f>"2011"</f>
        <v>2011</v>
      </c>
      <c r="F40" t="str">
        <f>"Pratt"</f>
        <v>Pratt</v>
      </c>
      <c r="G40" t="str">
        <f>"Parsian Publication"</f>
        <v>Parsian Publication</v>
      </c>
    </row>
    <row r="41" spans="1:7" x14ac:dyDescent="0.25">
      <c r="A41" t="str">
        <f>"Essentials of Biochemistry"</f>
        <v>Essentials of Biochemistry</v>
      </c>
      <c r="B41" t="str">
        <f>"9789386150301"</f>
        <v>9789386150301</v>
      </c>
      <c r="C41">
        <v>52</v>
      </c>
      <c r="D41" t="str">
        <f t="shared" si="5"/>
        <v>USD</v>
      </c>
      <c r="E41" t="str">
        <f>"2017"</f>
        <v>2017</v>
      </c>
      <c r="F41" t="str">
        <f>"Naik"</f>
        <v>Naik</v>
      </c>
      <c r="G41" t="str">
        <f>"arang"</f>
        <v>arang</v>
      </c>
    </row>
    <row r="42" spans="1:7" x14ac:dyDescent="0.25">
      <c r="A42" t="str">
        <f>"Essentials of Biochemistry"</f>
        <v>Essentials of Biochemistry</v>
      </c>
      <c r="B42" t="str">
        <f>"9789386150301"</f>
        <v>9789386150301</v>
      </c>
      <c r="C42">
        <v>52</v>
      </c>
      <c r="D42" t="str">
        <f t="shared" si="5"/>
        <v>USD</v>
      </c>
      <c r="E42" t="str">
        <f>"2017"</f>
        <v>2017</v>
      </c>
      <c r="F42" t="str">
        <f>"Naik"</f>
        <v>Naik</v>
      </c>
      <c r="G42" t="str">
        <f>"Parsian Publication"</f>
        <v>Parsian Publication</v>
      </c>
    </row>
    <row r="43" spans="1:7" x14ac:dyDescent="0.25">
      <c r="A43" t="str">
        <f>"Essentials of Biochemistry (for Medical Students"</f>
        <v>Essentials of Biochemistry (for Medical Students</v>
      </c>
      <c r="B43" t="str">
        <f>"9789352500024"</f>
        <v>9789352500024</v>
      </c>
      <c r="C43">
        <v>30</v>
      </c>
      <c r="D43" t="str">
        <f t="shared" si="5"/>
        <v>USD</v>
      </c>
      <c r="E43" t="str">
        <f t="shared" ref="E43:E48" si="6">"2016"</f>
        <v>2016</v>
      </c>
      <c r="F43" t="str">
        <f>"Nayak"</f>
        <v>Nayak</v>
      </c>
      <c r="G43" t="str">
        <f>"arang"</f>
        <v>arang</v>
      </c>
    </row>
    <row r="44" spans="1:7" x14ac:dyDescent="0.25">
      <c r="A44" t="str">
        <f>"Essentials of Biochemistry (for Medical Students"</f>
        <v>Essentials of Biochemistry (for Medical Students</v>
      </c>
      <c r="B44" t="str">
        <f>"9789352500024"</f>
        <v>9789352500024</v>
      </c>
      <c r="C44">
        <v>30</v>
      </c>
      <c r="D44" t="str">
        <f t="shared" si="5"/>
        <v>USD</v>
      </c>
      <c r="E44" t="str">
        <f t="shared" si="6"/>
        <v>2016</v>
      </c>
      <c r="F44" t="str">
        <f>"Nayak"</f>
        <v>Nayak</v>
      </c>
      <c r="G44" t="str">
        <f>"Parsian Publication"</f>
        <v>Parsian Publication</v>
      </c>
    </row>
    <row r="45" spans="1:7" x14ac:dyDescent="0.25">
      <c r="A45" t="str">
        <f>"Essentials of Biochemistry for BDS and Allied Life Sciences Students"</f>
        <v>Essentials of Biochemistry for BDS and Allied Life Sciences Students</v>
      </c>
      <c r="B45" t="str">
        <f>"9789352501465"</f>
        <v>9789352501465</v>
      </c>
      <c r="C45">
        <v>45</v>
      </c>
      <c r="D45" t="str">
        <f t="shared" si="5"/>
        <v>USD</v>
      </c>
      <c r="E45" t="str">
        <f t="shared" si="6"/>
        <v>2016</v>
      </c>
      <c r="F45" t="str">
        <f>"Purohi"</f>
        <v>Purohi</v>
      </c>
      <c r="G45" t="str">
        <f>"Parsian Publication"</f>
        <v>Parsian Publication</v>
      </c>
    </row>
    <row r="46" spans="1:7" x14ac:dyDescent="0.25">
      <c r="A46" t="str">
        <f>"Essentials of Biochemistry for BDS and Allied Life Sciences Students"</f>
        <v>Essentials of Biochemistry for BDS and Allied Life Sciences Students</v>
      </c>
      <c r="B46" t="str">
        <f>"9789352501465"</f>
        <v>9789352501465</v>
      </c>
      <c r="C46">
        <v>45</v>
      </c>
      <c r="D46" t="str">
        <f t="shared" si="5"/>
        <v>USD</v>
      </c>
      <c r="E46" t="str">
        <f t="shared" si="6"/>
        <v>2016</v>
      </c>
      <c r="F46" t="str">
        <f>"Purohi"</f>
        <v>Purohi</v>
      </c>
      <c r="G46" t="str">
        <f>"arang"</f>
        <v>arang</v>
      </c>
    </row>
    <row r="47" spans="1:7" x14ac:dyDescent="0.25">
      <c r="A47" t="str">
        <f>"Essentials of Foye's Principles of Medicinal Chemistry"</f>
        <v>Essentials of Foye's Principles of Medicinal Chemistry</v>
      </c>
      <c r="B47" t="str">
        <f>"9781451192063"</f>
        <v>9781451192063</v>
      </c>
      <c r="C47">
        <v>37.5</v>
      </c>
      <c r="D47" t="str">
        <f t="shared" si="5"/>
        <v>USD</v>
      </c>
      <c r="E47" t="str">
        <f t="shared" si="6"/>
        <v>2016</v>
      </c>
      <c r="F47" t="str">
        <f>"Lemke"</f>
        <v>Lemke</v>
      </c>
      <c r="G47" t="str">
        <f>"Parsian Publication"</f>
        <v>Parsian Publication</v>
      </c>
    </row>
    <row r="48" spans="1:7" x14ac:dyDescent="0.25">
      <c r="A48" t="str">
        <f>"Essentials of Foye's Principles of Medicinal Chemistry"</f>
        <v>Essentials of Foye's Principles of Medicinal Chemistry</v>
      </c>
      <c r="B48" t="str">
        <f>"9781451192063"</f>
        <v>9781451192063</v>
      </c>
      <c r="C48">
        <v>37.5</v>
      </c>
      <c r="D48" t="str">
        <f t="shared" si="5"/>
        <v>USD</v>
      </c>
      <c r="E48" t="str">
        <f t="shared" si="6"/>
        <v>2016</v>
      </c>
      <c r="F48" t="str">
        <f>"Lemke"</f>
        <v>Lemke</v>
      </c>
      <c r="G48" t="str">
        <f>"arang"</f>
        <v>arang</v>
      </c>
    </row>
    <row r="49" spans="1:7" x14ac:dyDescent="0.25">
      <c r="A49" t="str">
        <f>"Essentials Of Organic Chemistry"</f>
        <v>Essentials Of Organic Chemistry</v>
      </c>
      <c r="B49" t="str">
        <f>"9783132025318"</f>
        <v>9783132025318</v>
      </c>
      <c r="C49">
        <v>30</v>
      </c>
      <c r="D49" t="str">
        <f>"EUR"</f>
        <v>EUR</v>
      </c>
      <c r="E49" t="str">
        <f>"2015"</f>
        <v>2015</v>
      </c>
      <c r="F49" t="str">
        <f>"Breitmaier"</f>
        <v>Breitmaier</v>
      </c>
      <c r="G49" t="str">
        <f>"Parsian Publication"</f>
        <v>Parsian Publication</v>
      </c>
    </row>
    <row r="50" spans="1:7" x14ac:dyDescent="0.25">
      <c r="A50" t="str">
        <f>"Essentials of Practical Biochemistry"</f>
        <v>Essentials of Practical Biochemistry</v>
      </c>
      <c r="B50" t="str">
        <f>"9789386056900"</f>
        <v>9789386056900</v>
      </c>
      <c r="C50">
        <v>24</v>
      </c>
      <c r="D50" t="str">
        <f>"USD"</f>
        <v>USD</v>
      </c>
      <c r="E50" t="str">
        <f>"2017"</f>
        <v>2017</v>
      </c>
      <c r="F50" t="str">
        <f>"Sk Gupta"</f>
        <v>Sk Gupta</v>
      </c>
      <c r="G50" t="str">
        <f>"arang"</f>
        <v>arang</v>
      </c>
    </row>
    <row r="51" spans="1:7" x14ac:dyDescent="0.25">
      <c r="A51" t="str">
        <f>"Essentials of Practical Biochemistry"</f>
        <v>Essentials of Practical Biochemistry</v>
      </c>
      <c r="B51" t="str">
        <f>"9789386056900"</f>
        <v>9789386056900</v>
      </c>
      <c r="C51">
        <v>24</v>
      </c>
      <c r="D51" t="str">
        <f>"USD"</f>
        <v>USD</v>
      </c>
      <c r="E51" t="str">
        <f>"2017"</f>
        <v>2017</v>
      </c>
      <c r="F51" t="str">
        <f>"Sk Gupta"</f>
        <v>Sk Gupta</v>
      </c>
      <c r="G51" t="str">
        <f>"Parsian Publication"</f>
        <v>Parsian Publication</v>
      </c>
    </row>
    <row r="52" spans="1:7" x14ac:dyDescent="0.25">
      <c r="A52" t="str">
        <f>"Eureka: Biochemistry &amp; Metabolism"</f>
        <v>Eureka: Biochemistry &amp; Metabolism</v>
      </c>
      <c r="B52" t="str">
        <f>"9781907816833"</f>
        <v>9781907816833</v>
      </c>
      <c r="C52">
        <v>16.100000000000001</v>
      </c>
      <c r="D52" t="str">
        <f>"GBP"</f>
        <v>GBP</v>
      </c>
      <c r="E52" t="str">
        <f>"2015"</f>
        <v>2015</v>
      </c>
      <c r="F52" t="str">
        <f>"Andrew Davison"</f>
        <v>Andrew Davison</v>
      </c>
      <c r="G52" t="str">
        <f>"Parsian Publication"</f>
        <v>Parsian Publication</v>
      </c>
    </row>
    <row r="53" spans="1:7" x14ac:dyDescent="0.25">
      <c r="A53" t="str">
        <f>"Fundamentals Of Financial Accounting"</f>
        <v>Fundamentals Of Financial Accounting</v>
      </c>
      <c r="B53" t="str">
        <f>"9781259252402"</f>
        <v>9781259252402</v>
      </c>
      <c r="C53">
        <v>72.25</v>
      </c>
      <c r="D53" t="str">
        <f t="shared" ref="D53:D71" si="7">"USD"</f>
        <v>USD</v>
      </c>
      <c r="E53" t="str">
        <f>"2015"</f>
        <v>2015</v>
      </c>
      <c r="F53" t="str">
        <f>"Libby"</f>
        <v>Libby</v>
      </c>
      <c r="G53" t="str">
        <f>"Parsian Publication"</f>
        <v>Parsian Publication</v>
      </c>
    </row>
    <row r="54" spans="1:7" x14ac:dyDescent="0.25">
      <c r="A54" t="str">
        <f>"Handbook of Biochemistry Spotting"</f>
        <v>Handbook of Biochemistry Spotting</v>
      </c>
      <c r="B54" t="str">
        <f>"9789352501434"</f>
        <v>9789352501434</v>
      </c>
      <c r="C54">
        <v>45</v>
      </c>
      <c r="D54" t="str">
        <f t="shared" si="7"/>
        <v>USD</v>
      </c>
      <c r="E54" t="str">
        <f>"2016"</f>
        <v>2016</v>
      </c>
      <c r="F54" t="str">
        <f>"Chhabra"</f>
        <v>Chhabra</v>
      </c>
      <c r="G54" t="str">
        <f>"arang"</f>
        <v>arang</v>
      </c>
    </row>
    <row r="55" spans="1:7" x14ac:dyDescent="0.25">
      <c r="A55" t="str">
        <f>"Handbook of Biochemistry Spotting"</f>
        <v>Handbook of Biochemistry Spotting</v>
      </c>
      <c r="B55" t="str">
        <f>"9789352501434"</f>
        <v>9789352501434</v>
      </c>
      <c r="C55">
        <v>45</v>
      </c>
      <c r="D55" t="str">
        <f t="shared" si="7"/>
        <v>USD</v>
      </c>
      <c r="E55" t="str">
        <f>"2016"</f>
        <v>2016</v>
      </c>
      <c r="F55" t="str">
        <f>"Chhabra"</f>
        <v>Chhabra</v>
      </c>
      <c r="G55" t="str">
        <f t="shared" ref="G55:G60" si="8">"Parsian Publication"</f>
        <v>Parsian Publication</v>
      </c>
    </row>
    <row r="56" spans="1:7" x14ac:dyDescent="0.25">
      <c r="A56" t="str">
        <f>"Harpers Illustrated Biochemistry"</f>
        <v>Harpers Illustrated Biochemistry</v>
      </c>
      <c r="B56" t="str">
        <f>"9781259252860"</f>
        <v>9781259252860</v>
      </c>
      <c r="C56">
        <v>35.700000000000003</v>
      </c>
      <c r="D56" t="str">
        <f t="shared" si="7"/>
        <v>USD</v>
      </c>
      <c r="E56" t="str">
        <f>"2015"</f>
        <v>2015</v>
      </c>
      <c r="F56" t="str">
        <f>"Rodwell"</f>
        <v>Rodwell</v>
      </c>
      <c r="G56" t="str">
        <f t="shared" si="8"/>
        <v>Parsian Publication</v>
      </c>
    </row>
    <row r="57" spans="1:7" x14ac:dyDescent="0.25">
      <c r="A57" t="str">
        <f>"Laboratory Manual for Practical Biochemistry"</f>
        <v>Laboratory Manual for Practical Biochemistry</v>
      </c>
      <c r="B57" t="str">
        <f>"9789350902769"</f>
        <v>9789350902769</v>
      </c>
      <c r="C57">
        <v>14.3</v>
      </c>
      <c r="D57" t="str">
        <f t="shared" si="7"/>
        <v>USD</v>
      </c>
      <c r="E57" t="str">
        <f>"2014"</f>
        <v>2014</v>
      </c>
      <c r="F57" t="str">
        <f>"Shankara"</f>
        <v>Shankara</v>
      </c>
      <c r="G57" t="str">
        <f t="shared" si="8"/>
        <v>Parsian Publication</v>
      </c>
    </row>
    <row r="58" spans="1:7" x14ac:dyDescent="0.25">
      <c r="A58" t="str">
        <f>"Last Minute Revision: Biochemistry"</f>
        <v>Last Minute Revision: Biochemistry</v>
      </c>
      <c r="B58" t="str">
        <f>"9789351528968"</f>
        <v>9789351528968</v>
      </c>
      <c r="C58">
        <v>14</v>
      </c>
      <c r="D58" t="str">
        <f t="shared" si="7"/>
        <v>USD</v>
      </c>
      <c r="E58" t="str">
        <f>"2015"</f>
        <v>2015</v>
      </c>
      <c r="F58" t="str">
        <f>"Shukla"</f>
        <v>Shukla</v>
      </c>
      <c r="G58" t="str">
        <f t="shared" si="8"/>
        <v>Parsian Publication</v>
      </c>
    </row>
    <row r="59" spans="1:7" x14ac:dyDescent="0.25">
      <c r="A59" t="str">
        <f>"Lippincott Illustrated Review: Biochemistry Ise"</f>
        <v>Lippincott Illustrated Review: Biochemistry Ise</v>
      </c>
      <c r="B59" t="str">
        <f>"9781451187533"</f>
        <v>9781451187533</v>
      </c>
      <c r="C59">
        <v>24.05</v>
      </c>
      <c r="D59" t="str">
        <f t="shared" si="7"/>
        <v>USD</v>
      </c>
      <c r="E59" t="str">
        <f>"2014"</f>
        <v>2014</v>
      </c>
      <c r="F59" t="str">
        <f>"Harvey"</f>
        <v>Harvey</v>
      </c>
      <c r="G59" t="str">
        <f t="shared" si="8"/>
        <v>Parsian Publication</v>
      </c>
    </row>
    <row r="60" spans="1:7" x14ac:dyDescent="0.25">
      <c r="A60" t="str">
        <f>"Lippincott Illustrated Reviews: Biochemistry"</f>
        <v>Lippincott Illustrated Reviews: Biochemistry</v>
      </c>
      <c r="B60" t="str">
        <f>"9781496363541"</f>
        <v>9781496363541</v>
      </c>
      <c r="C60">
        <v>30.4</v>
      </c>
      <c r="D60" t="str">
        <f t="shared" si="7"/>
        <v>USD</v>
      </c>
      <c r="E60" t="str">
        <f>"2017"</f>
        <v>2017</v>
      </c>
      <c r="F60" t="str">
        <f>"Ferrier"</f>
        <v>Ferrier</v>
      </c>
      <c r="G60" t="str">
        <f t="shared" si="8"/>
        <v>Parsian Publication</v>
      </c>
    </row>
    <row r="61" spans="1:7" x14ac:dyDescent="0.25">
      <c r="A61" t="str">
        <f>"Lippincott Illustrated Reviews: Biochemistry"</f>
        <v>Lippincott Illustrated Reviews: Biochemistry</v>
      </c>
      <c r="B61" t="str">
        <f>"9781496363541"</f>
        <v>9781496363541</v>
      </c>
      <c r="C61">
        <v>30.4</v>
      </c>
      <c r="D61" t="str">
        <f t="shared" si="7"/>
        <v>USD</v>
      </c>
      <c r="E61" t="str">
        <f>"2017"</f>
        <v>2017</v>
      </c>
      <c r="F61" t="str">
        <f>"Ferrier"</f>
        <v>Ferrier</v>
      </c>
      <c r="G61" t="str">
        <f>"arang"</f>
        <v>arang</v>
      </c>
    </row>
    <row r="62" spans="1:7" x14ac:dyDescent="0.25">
      <c r="A62" t="str">
        <f>"Lippincott Illustrated Reviews: Cell and Molecular Biology"</f>
        <v>Lippincott Illustrated Reviews: Cell and Molecular Biology</v>
      </c>
      <c r="B62" t="str">
        <f>"9781975106232"</f>
        <v>9781975106232</v>
      </c>
      <c r="C62">
        <v>47.6</v>
      </c>
      <c r="D62" t="str">
        <f t="shared" si="7"/>
        <v>USD</v>
      </c>
      <c r="E62" t="str">
        <f>"2018"</f>
        <v>2018</v>
      </c>
      <c r="F62" t="str">
        <f>"Chandar,Nalini"</f>
        <v>Chandar,Nalini</v>
      </c>
      <c r="G62" t="str">
        <f>"arang"</f>
        <v>arang</v>
      </c>
    </row>
    <row r="63" spans="1:7" x14ac:dyDescent="0.25">
      <c r="A63" t="str">
        <f>"Lippincott Illustrated Reviews: Cell and Molecular Biology"</f>
        <v>Lippincott Illustrated Reviews: Cell and Molecular Biology</v>
      </c>
      <c r="B63" t="str">
        <f>"9781975106232"</f>
        <v>9781975106232</v>
      </c>
      <c r="C63">
        <v>47.6</v>
      </c>
      <c r="D63" t="str">
        <f t="shared" si="7"/>
        <v>USD</v>
      </c>
      <c r="E63" t="str">
        <f>"2018"</f>
        <v>2018</v>
      </c>
      <c r="F63" t="str">
        <f>"Chandar,Nalini"</f>
        <v>Chandar,Nalini</v>
      </c>
      <c r="G63" t="str">
        <f>"Parsian Publication"</f>
        <v>Parsian Publication</v>
      </c>
    </row>
    <row r="64" spans="1:7" x14ac:dyDescent="0.25">
      <c r="A64" t="str">
        <f>"Manual of Practical Medical Biochemistry"</f>
        <v>Manual of Practical Medical Biochemistry</v>
      </c>
      <c r="B64" t="str">
        <f>"9789352501540"</f>
        <v>9789352501540</v>
      </c>
      <c r="C64">
        <v>22.5</v>
      </c>
      <c r="D64" t="str">
        <f t="shared" si="7"/>
        <v>USD</v>
      </c>
      <c r="E64" t="str">
        <f>"2016"</f>
        <v>2016</v>
      </c>
      <c r="F64" t="str">
        <f>"Jones"</f>
        <v>Jones</v>
      </c>
      <c r="G64" t="str">
        <f>"Parsian Publication"</f>
        <v>Parsian Publication</v>
      </c>
    </row>
    <row r="65" spans="1:7" x14ac:dyDescent="0.25">
      <c r="A65" t="str">
        <f>"Manual of Practical Medical Biochemistry"</f>
        <v>Manual of Practical Medical Biochemistry</v>
      </c>
      <c r="B65" t="str">
        <f>"9789352501540"</f>
        <v>9789352501540</v>
      </c>
      <c r="C65">
        <v>22.5</v>
      </c>
      <c r="D65" t="str">
        <f t="shared" si="7"/>
        <v>USD</v>
      </c>
      <c r="E65" t="str">
        <f>"2016"</f>
        <v>2016</v>
      </c>
      <c r="F65" t="str">
        <f>"Jones"</f>
        <v>Jones</v>
      </c>
      <c r="G65" t="str">
        <f>"arang"</f>
        <v>arang</v>
      </c>
    </row>
    <row r="66" spans="1:7" x14ac:dyDescent="0.25">
      <c r="A66" t="str">
        <f>"Marks' Basic Medical Biochemistry, International Edition,A Clinical Approach"</f>
        <v>Marks' Basic Medical Biochemistry, International Edition,A Clinical Approach</v>
      </c>
      <c r="B66" t="str">
        <f>"9781496387721"</f>
        <v>9781496387721</v>
      </c>
      <c r="C66">
        <v>46.75</v>
      </c>
      <c r="D66" t="str">
        <f t="shared" si="7"/>
        <v>USD</v>
      </c>
      <c r="E66" t="str">
        <f>"2018"</f>
        <v>2018</v>
      </c>
      <c r="F66" t="str">
        <f>"Lieberman,Michael"</f>
        <v>Lieberman,Michael</v>
      </c>
      <c r="G66" t="str">
        <f>"Parsian Publication"</f>
        <v>Parsian Publication</v>
      </c>
    </row>
    <row r="67" spans="1:7" x14ac:dyDescent="0.25">
      <c r="A67" t="str">
        <f>"Marks' Basic Medical Biochemistry, International Edition,A Clinical Approach"</f>
        <v>Marks' Basic Medical Biochemistry, International Edition,A Clinical Approach</v>
      </c>
      <c r="B67" t="str">
        <f>"9781496387721"</f>
        <v>9781496387721</v>
      </c>
      <c r="C67">
        <v>46.75</v>
      </c>
      <c r="D67" t="str">
        <f t="shared" si="7"/>
        <v>USD</v>
      </c>
      <c r="E67" t="str">
        <f>"2018"</f>
        <v>2018</v>
      </c>
      <c r="F67" t="str">
        <f>"Lieberman,Michael"</f>
        <v>Lieberman,Michael</v>
      </c>
      <c r="G67" t="str">
        <f>"arang"</f>
        <v>arang</v>
      </c>
    </row>
    <row r="68" spans="1:7" x14ac:dyDescent="0.25">
      <c r="A68" t="str">
        <f>"Marks' Essentials of Medical Biochemistry"</f>
        <v>Marks' Essentials of Medical Biochemistry</v>
      </c>
      <c r="B68" t="str">
        <f>"9781451190069"</f>
        <v>9781451190069</v>
      </c>
      <c r="C68">
        <v>42</v>
      </c>
      <c r="D68" t="str">
        <f t="shared" si="7"/>
        <v>USD</v>
      </c>
      <c r="E68" t="str">
        <f>"2015"</f>
        <v>2015</v>
      </c>
      <c r="F68" t="str">
        <f>"Lieberman"</f>
        <v>Lieberman</v>
      </c>
      <c r="G68" t="str">
        <f>"Parsian Publication"</f>
        <v>Parsian Publication</v>
      </c>
    </row>
    <row r="69" spans="1:7" x14ac:dyDescent="0.25">
      <c r="A69" t="str">
        <f>"MCQs in Biochemistry"</f>
        <v>MCQs in Biochemistry</v>
      </c>
      <c r="B69" t="str">
        <f>"9789386150455"</f>
        <v>9789386150455</v>
      </c>
      <c r="C69">
        <v>24</v>
      </c>
      <c r="D69" t="str">
        <f t="shared" si="7"/>
        <v>USD</v>
      </c>
      <c r="E69" t="str">
        <f>"2017"</f>
        <v>2017</v>
      </c>
      <c r="F69" t="str">
        <f>"Pandey"</f>
        <v>Pandey</v>
      </c>
      <c r="G69" t="str">
        <f>"Parsian Publication"</f>
        <v>Parsian Publication</v>
      </c>
    </row>
    <row r="70" spans="1:7" x14ac:dyDescent="0.25">
      <c r="A70" t="str">
        <f>"MCQs in Biochemistry"</f>
        <v>MCQs in Biochemistry</v>
      </c>
      <c r="B70" t="str">
        <f>"9789386150455"</f>
        <v>9789386150455</v>
      </c>
      <c r="C70">
        <v>24</v>
      </c>
      <c r="D70" t="str">
        <f t="shared" si="7"/>
        <v>USD</v>
      </c>
      <c r="E70" t="str">
        <f>"2017"</f>
        <v>2017</v>
      </c>
      <c r="F70" t="str">
        <f>"Pandey"</f>
        <v>Pandey</v>
      </c>
      <c r="G70" t="str">
        <f>"arang"</f>
        <v>arang</v>
      </c>
    </row>
    <row r="71" spans="1:7" x14ac:dyDescent="0.25">
      <c r="A71" t="str">
        <f>"Medical Biochemistry"</f>
        <v>Medical Biochemistry</v>
      </c>
      <c r="B71" t="str">
        <f>"9780323053716"</f>
        <v>9780323053716</v>
      </c>
      <c r="C71">
        <v>41</v>
      </c>
      <c r="D71" t="str">
        <f t="shared" si="7"/>
        <v>USD</v>
      </c>
      <c r="E71" t="str">
        <f>"2009"</f>
        <v>2009</v>
      </c>
      <c r="F71" t="str">
        <f>"Baynes"</f>
        <v>Baynes</v>
      </c>
      <c r="G71" t="str">
        <f>"Parsian Publication"</f>
        <v>Parsian Publication</v>
      </c>
    </row>
    <row r="72" spans="1:7" x14ac:dyDescent="0.25">
      <c r="A72" t="str">
        <f>"Medical Biochemistry - An Illustrated Review"</f>
        <v>Medical Biochemistry - An Illustrated Review</v>
      </c>
      <c r="B72" t="str">
        <f>"9781604063165"</f>
        <v>9781604063165</v>
      </c>
      <c r="C72">
        <v>24.5</v>
      </c>
      <c r="D72" t="str">
        <f>"EUR"</f>
        <v>EUR</v>
      </c>
      <c r="E72" t="str">
        <f>"2013"</f>
        <v>2013</v>
      </c>
      <c r="F72" t="str">
        <f>"Panini"</f>
        <v>Panini</v>
      </c>
      <c r="G72" t="str">
        <f>"Parsian Publication"</f>
        <v>Parsian Publication</v>
      </c>
    </row>
    <row r="73" spans="1:7" x14ac:dyDescent="0.25">
      <c r="A73" t="str">
        <f>"Medical Biochemistry, 5th Edition"</f>
        <v>Medical Biochemistry, 5th Edition</v>
      </c>
      <c r="B73" t="str">
        <f>"9780702072994"</f>
        <v>9780702072994</v>
      </c>
      <c r="C73">
        <v>64.599999999999994</v>
      </c>
      <c r="D73" t="str">
        <f t="shared" ref="D73:D91" si="9">"USD"</f>
        <v>USD</v>
      </c>
      <c r="E73" t="str">
        <f>"2018"</f>
        <v>2018</v>
      </c>
      <c r="F73" t="str">
        <f>"Baynes &amp; Dominiczak"</f>
        <v>Baynes &amp; Dominiczak</v>
      </c>
      <c r="G73" t="str">
        <f>"arang"</f>
        <v>arang</v>
      </c>
    </row>
    <row r="74" spans="1:7" x14ac:dyDescent="0.25">
      <c r="A74" t="str">
        <f>"Medical Biochemistry, 5th Edition"</f>
        <v>Medical Biochemistry, 5th Edition</v>
      </c>
      <c r="B74" t="str">
        <f>"9780702072994"</f>
        <v>9780702072994</v>
      </c>
      <c r="C74">
        <v>64.599999999999994</v>
      </c>
      <c r="D74" t="str">
        <f t="shared" si="9"/>
        <v>USD</v>
      </c>
      <c r="E74" t="str">
        <f>"2018"</f>
        <v>2018</v>
      </c>
      <c r="F74" t="str">
        <f>"Baynes &amp; Dominiczak"</f>
        <v>Baynes &amp; Dominiczak</v>
      </c>
      <c r="G74" t="str">
        <f>"Parsian Publication"</f>
        <v>Parsian Publication</v>
      </c>
    </row>
    <row r="75" spans="1:7" x14ac:dyDescent="0.25">
      <c r="A75" t="str">
        <f>"Medical Biochemistry: The Big Picture"</f>
        <v>Medical Biochemistry: The Big Picture</v>
      </c>
      <c r="B75" t="str">
        <f>"9780071637916"</f>
        <v>9780071637916</v>
      </c>
      <c r="C75">
        <v>36</v>
      </c>
      <c r="D75" t="str">
        <f t="shared" si="9"/>
        <v>USD</v>
      </c>
      <c r="E75" t="str">
        <f>"2012"</f>
        <v>2012</v>
      </c>
      <c r="F75" t="str">
        <f>"Marc Tischler"</f>
        <v>Marc Tischler</v>
      </c>
      <c r="G75" t="str">
        <f>"Parsian Publication"</f>
        <v>Parsian Publication</v>
      </c>
    </row>
    <row r="76" spans="1:7" x14ac:dyDescent="0.25">
      <c r="A76" t="str">
        <f>"Multiple Choice Questions in Biochemistry"</f>
        <v>Multiple Choice Questions in Biochemistry</v>
      </c>
      <c r="B76" t="str">
        <f>"9789352500499"</f>
        <v>9789352500499</v>
      </c>
      <c r="C76">
        <v>18.75</v>
      </c>
      <c r="D76" t="str">
        <f t="shared" si="9"/>
        <v>USD</v>
      </c>
      <c r="E76" t="str">
        <f>"2016"</f>
        <v>2016</v>
      </c>
      <c r="F76" t="str">
        <f>"Gupta"</f>
        <v>Gupta</v>
      </c>
      <c r="G76" t="str">
        <f>"arang"</f>
        <v>arang</v>
      </c>
    </row>
    <row r="77" spans="1:7" x14ac:dyDescent="0.25">
      <c r="A77" t="str">
        <f>"Multiple Choice Questions in Biochemistry"</f>
        <v>Multiple Choice Questions in Biochemistry</v>
      </c>
      <c r="B77" t="str">
        <f>"9789352500499"</f>
        <v>9789352500499</v>
      </c>
      <c r="C77">
        <v>18.75</v>
      </c>
      <c r="D77" t="str">
        <f t="shared" si="9"/>
        <v>USD</v>
      </c>
      <c r="E77" t="str">
        <f>"2016"</f>
        <v>2016</v>
      </c>
      <c r="F77" t="str">
        <f>"Gupta"</f>
        <v>Gupta</v>
      </c>
      <c r="G77" t="str">
        <f>"Parsian Publication"</f>
        <v>Parsian Publication</v>
      </c>
    </row>
    <row r="78" spans="1:7" x14ac:dyDescent="0.25">
      <c r="A78" t="str">
        <f>"Netter's Essential Biochemistry"</f>
        <v>Netter's Essential Biochemistry</v>
      </c>
      <c r="B78" t="str">
        <f>"9781929007639"</f>
        <v>9781929007639</v>
      </c>
      <c r="C78">
        <v>48</v>
      </c>
      <c r="D78" t="str">
        <f t="shared" si="9"/>
        <v>USD</v>
      </c>
      <c r="E78" t="str">
        <f>"2017"</f>
        <v>2017</v>
      </c>
      <c r="F78" t="str">
        <f>"Ronner"</f>
        <v>Ronner</v>
      </c>
      <c r="G78" t="str">
        <f>"Parsian Publication"</f>
        <v>Parsian Publication</v>
      </c>
    </row>
    <row r="79" spans="1:7" x14ac:dyDescent="0.25">
      <c r="A79" t="str">
        <f>"Netter's Essential Biochemistry"</f>
        <v>Netter's Essential Biochemistry</v>
      </c>
      <c r="B79" t="str">
        <f>"9781929007639"</f>
        <v>9781929007639</v>
      </c>
      <c r="C79">
        <v>48</v>
      </c>
      <c r="D79" t="str">
        <f t="shared" si="9"/>
        <v>USD</v>
      </c>
      <c r="E79" t="str">
        <f>"2017"</f>
        <v>2017</v>
      </c>
      <c r="F79" t="str">
        <f>"Ronner"</f>
        <v>Ronner</v>
      </c>
      <c r="G79" t="str">
        <f>"arang"</f>
        <v>arang</v>
      </c>
    </row>
    <row r="80" spans="1:7" x14ac:dyDescent="0.25">
      <c r="A80" t="str">
        <f>"Organic chemistry"</f>
        <v>Organic chemistry</v>
      </c>
      <c r="B80" t="str">
        <f>"9780071323970"</f>
        <v>9780071323970</v>
      </c>
      <c r="C80">
        <v>13.75</v>
      </c>
      <c r="D80" t="str">
        <f t="shared" si="9"/>
        <v>USD</v>
      </c>
      <c r="E80" t="str">
        <f>"2011"</f>
        <v>2011</v>
      </c>
      <c r="F80" t="str">
        <f>"Francis"</f>
        <v>Francis</v>
      </c>
      <c r="G80" t="str">
        <f>"Parsian Publication"</f>
        <v>Parsian Publication</v>
      </c>
    </row>
    <row r="81" spans="1:7" x14ac:dyDescent="0.25">
      <c r="A81" t="str">
        <f>"Organic Chemistry of Medicinal Agents"</f>
        <v>Organic Chemistry of Medicinal Agents</v>
      </c>
      <c r="B81" t="str">
        <f>"9780071794213"</f>
        <v>9780071794213</v>
      </c>
      <c r="C81">
        <v>72.25</v>
      </c>
      <c r="D81" t="str">
        <f t="shared" si="9"/>
        <v>USD</v>
      </c>
      <c r="E81" t="str">
        <f>"2015"</f>
        <v>2015</v>
      </c>
      <c r="F81" t="str">
        <f>"Renslo"</f>
        <v>Renslo</v>
      </c>
      <c r="G81" t="str">
        <f>"Parsian Publication"</f>
        <v>Parsian Publication</v>
      </c>
    </row>
    <row r="82" spans="1:7" x14ac:dyDescent="0.25">
      <c r="A82" t="str">
        <f>"PRACTICAL BIOCHEMISTRY"</f>
        <v>PRACTICAL BIOCHEMISTRY</v>
      </c>
      <c r="B82" t="str">
        <f>"9789351529941"</f>
        <v>9789351529941</v>
      </c>
      <c r="C82">
        <v>18.75</v>
      </c>
      <c r="D82" t="str">
        <f t="shared" si="9"/>
        <v>USD</v>
      </c>
      <c r="E82" t="str">
        <f>"2016"</f>
        <v>2016</v>
      </c>
      <c r="F82" t="str">
        <f>"Geetha"</f>
        <v>Geetha</v>
      </c>
      <c r="G82" t="str">
        <f>"Parsian Publication"</f>
        <v>Parsian Publication</v>
      </c>
    </row>
    <row r="83" spans="1:7" x14ac:dyDescent="0.25">
      <c r="A83" t="str">
        <f>"PRACTICAL BIOCHEMISTRY"</f>
        <v>PRACTICAL BIOCHEMISTRY</v>
      </c>
      <c r="B83" t="str">
        <f>"9789351529941"</f>
        <v>9789351529941</v>
      </c>
      <c r="C83">
        <v>18.75</v>
      </c>
      <c r="D83" t="str">
        <f t="shared" si="9"/>
        <v>USD</v>
      </c>
      <c r="E83" t="str">
        <f>"2016"</f>
        <v>2016</v>
      </c>
      <c r="F83" t="str">
        <f>"Geetha"</f>
        <v>Geetha</v>
      </c>
      <c r="G83" t="str">
        <f>"arang"</f>
        <v>arang</v>
      </c>
    </row>
    <row r="84" spans="1:7" x14ac:dyDescent="0.25">
      <c r="A84" t="str">
        <f>"Practical Clinical Biochemistry"</f>
        <v>Practical Clinical Biochemistry</v>
      </c>
      <c r="B84" t="str">
        <f>"9789350904657"</f>
        <v>9789350904657</v>
      </c>
      <c r="C84">
        <v>13.2</v>
      </c>
      <c r="D84" t="str">
        <f t="shared" si="9"/>
        <v>USD</v>
      </c>
      <c r="E84" t="str">
        <f>"2013"</f>
        <v>2013</v>
      </c>
      <c r="F84" t="str">
        <f>"Mohanty"</f>
        <v>Mohanty</v>
      </c>
      <c r="G84" t="str">
        <f>"Parsian Publication"</f>
        <v>Parsian Publication</v>
      </c>
    </row>
    <row r="85" spans="1:7" x14ac:dyDescent="0.25">
      <c r="A85" t="str">
        <f>"Practical Clinical Biochemistry: Methods and Interpretations"</f>
        <v>Practical Clinical Biochemistry: Methods and Interpretations</v>
      </c>
      <c r="B85" t="str">
        <f>"9789350909423"</f>
        <v>9789350909423</v>
      </c>
      <c r="C85">
        <v>16.25</v>
      </c>
      <c r="D85" t="str">
        <f t="shared" si="9"/>
        <v>USD</v>
      </c>
      <c r="E85" t="str">
        <f>"2014"</f>
        <v>2014</v>
      </c>
      <c r="F85" t="str">
        <f>"Chawla"</f>
        <v>Chawla</v>
      </c>
      <c r="G85" t="str">
        <f>"Parsian Publication"</f>
        <v>Parsian Publication</v>
      </c>
    </row>
    <row r="86" spans="1:7" x14ac:dyDescent="0.25">
      <c r="A86" t="str">
        <f>"Practical Textbook of Biochemistry for Medical Students"</f>
        <v>Practical Textbook of Biochemistry for Medical Students</v>
      </c>
      <c r="B86" t="str">
        <f>"9789350906682"</f>
        <v>9789350906682</v>
      </c>
      <c r="C86">
        <v>16.899999999999999</v>
      </c>
      <c r="D86" t="str">
        <f t="shared" si="9"/>
        <v>USD</v>
      </c>
      <c r="E86" t="str">
        <f>"2014"</f>
        <v>2014</v>
      </c>
      <c r="F86" t="str">
        <f>"Vasudevan"</f>
        <v>Vasudevan</v>
      </c>
      <c r="G86" t="str">
        <f>"Parsian Publication"</f>
        <v>Parsian Publication</v>
      </c>
    </row>
    <row r="87" spans="1:7" x14ac:dyDescent="0.25">
      <c r="A87" t="str">
        <f>"Principles of Inorganic Chemistry"</f>
        <v>Principles of Inorganic Chemistry</v>
      </c>
      <c r="B87" t="str">
        <f>"9781118859100"</f>
        <v>9781118859100</v>
      </c>
      <c r="C87">
        <v>127.5</v>
      </c>
      <c r="D87" t="str">
        <f t="shared" si="9"/>
        <v>USD</v>
      </c>
      <c r="E87" t="str">
        <f>"2015"</f>
        <v>2015</v>
      </c>
      <c r="F87" t="str">
        <f>"Pfennig"</f>
        <v>Pfennig</v>
      </c>
      <c r="G87" t="str">
        <f>"Parsian Publication"</f>
        <v>Parsian Publication</v>
      </c>
    </row>
    <row r="88" spans="1:7" x14ac:dyDescent="0.25">
      <c r="A88" t="str">
        <f>"Principles of Medical Biochemistry"</f>
        <v>Principles of Medical Biochemistry</v>
      </c>
      <c r="B88" t="str">
        <f>"9780323296168"</f>
        <v>9780323296168</v>
      </c>
      <c r="C88">
        <v>58.4</v>
      </c>
      <c r="D88" t="str">
        <f t="shared" si="9"/>
        <v>USD</v>
      </c>
      <c r="E88" t="str">
        <f>"2017"</f>
        <v>2017</v>
      </c>
      <c r="F88" t="str">
        <f>"Meisenberg &amp; Simmons"</f>
        <v>Meisenberg &amp; Simmons</v>
      </c>
      <c r="G88" t="str">
        <f>"arang"</f>
        <v>arang</v>
      </c>
    </row>
    <row r="89" spans="1:7" x14ac:dyDescent="0.25">
      <c r="A89" t="str">
        <f>"Principles of Medical Biochemistry"</f>
        <v>Principles of Medical Biochemistry</v>
      </c>
      <c r="B89" t="str">
        <f>"9780323296168"</f>
        <v>9780323296168</v>
      </c>
      <c r="C89">
        <v>58.4</v>
      </c>
      <c r="D89" t="str">
        <f t="shared" si="9"/>
        <v>USD</v>
      </c>
      <c r="E89" t="str">
        <f>"2017"</f>
        <v>2017</v>
      </c>
      <c r="F89" t="str">
        <f>"Meisenberg &amp; Simmons"</f>
        <v>Meisenberg &amp; Simmons</v>
      </c>
      <c r="G89" t="str">
        <f>"Parsian Publication"</f>
        <v>Parsian Publication</v>
      </c>
    </row>
    <row r="90" spans="1:7" x14ac:dyDescent="0.25">
      <c r="A90" t="str">
        <f>"Rapid Review Biochemistry"</f>
        <v>Rapid Review Biochemistry</v>
      </c>
      <c r="B90" t="str">
        <f>"9780323068871"</f>
        <v>9780323068871</v>
      </c>
      <c r="C90">
        <v>23.65</v>
      </c>
      <c r="D90" t="str">
        <f t="shared" si="9"/>
        <v>USD</v>
      </c>
      <c r="E90" t="str">
        <f>"2011"</f>
        <v>2011</v>
      </c>
      <c r="F90" t="str">
        <f>"Pelley"</f>
        <v>Pelley</v>
      </c>
      <c r="G90" t="str">
        <f>"Parsian Publication"</f>
        <v>Parsian Publication</v>
      </c>
    </row>
    <row r="91" spans="1:7" x14ac:dyDescent="0.25">
      <c r="A91" t="str">
        <f>"Schaum's Outline of Organic Chemistry"</f>
        <v>Schaum's Outline of Organic Chemistry</v>
      </c>
      <c r="B91" t="str">
        <f>"9780071811118"</f>
        <v>9780071811118</v>
      </c>
      <c r="C91">
        <v>13.2</v>
      </c>
      <c r="D91" t="str">
        <f t="shared" si="9"/>
        <v>USD</v>
      </c>
      <c r="E91" t="str">
        <f>"2013"</f>
        <v>2013</v>
      </c>
      <c r="F91" t="str">
        <f>"Sharefkin"</f>
        <v>Sharefkin</v>
      </c>
      <c r="G91" t="str">
        <f>"Parsian Publication"</f>
        <v>Parsian Publication</v>
      </c>
    </row>
    <row r="92" spans="1:7" x14ac:dyDescent="0.25">
      <c r="A92" t="str">
        <f>"Science of Synthesis Knowledge Updates: 2016/2"</f>
        <v>Science of Synthesis Knowledge Updates: 2016/2</v>
      </c>
      <c r="B92" t="str">
        <f>"9783132208711"</f>
        <v>9783132208711</v>
      </c>
      <c r="C92">
        <v>2250</v>
      </c>
      <c r="D92" t="str">
        <f t="shared" ref="D92:D99" si="10">"EUR"</f>
        <v>EUR</v>
      </c>
      <c r="E92" t="str">
        <f>"2016"</f>
        <v>2016</v>
      </c>
      <c r="F92" t="str">
        <f>"Carreira"</f>
        <v>Carreira</v>
      </c>
      <c r="G92" t="str">
        <f>"Parsian Publication"</f>
        <v>Parsian Publication</v>
      </c>
    </row>
    <row r="93" spans="1:7" x14ac:dyDescent="0.25">
      <c r="A93" t="str">
        <f>"Science of Synthesis Knowledge Updates: 2016/2"</f>
        <v>Science of Synthesis Knowledge Updates: 2016/2</v>
      </c>
      <c r="B93" t="str">
        <f>"9783132208711"</f>
        <v>9783132208711</v>
      </c>
      <c r="C93">
        <v>2250</v>
      </c>
      <c r="D93" t="str">
        <f t="shared" si="10"/>
        <v>EUR</v>
      </c>
      <c r="E93" t="str">
        <f>"2016"</f>
        <v>2016</v>
      </c>
      <c r="F93" t="str">
        <f>"Carreira"</f>
        <v>Carreira</v>
      </c>
      <c r="G93" t="str">
        <f>"arang"</f>
        <v>arang</v>
      </c>
    </row>
    <row r="94" spans="1:7" x14ac:dyDescent="0.25">
      <c r="A94" t="str">
        <f>"Science of Synthesis: Metal-Catalyzed Cyclization Reactions Vol. 1"</f>
        <v>Science of Synthesis: Metal-Catalyzed Cyclization Reactions Vol. 1</v>
      </c>
      <c r="B94" t="str">
        <f>"9783131998712"</f>
        <v>9783131998712</v>
      </c>
      <c r="C94">
        <v>208</v>
      </c>
      <c r="D94" t="str">
        <f t="shared" si="10"/>
        <v>EUR</v>
      </c>
      <c r="E94" t="str">
        <f t="shared" ref="E94:E100" si="11">"2017"</f>
        <v>2017</v>
      </c>
      <c r="F94" t="str">
        <f>"Ma Shengming"</f>
        <v>Ma Shengming</v>
      </c>
      <c r="G94" t="str">
        <f>"arang"</f>
        <v>arang</v>
      </c>
    </row>
    <row r="95" spans="1:7" x14ac:dyDescent="0.25">
      <c r="A95" t="str">
        <f>"Science of Synthesis: Metal-Catalyzed Cyclization Reactions Vol. 1"</f>
        <v>Science of Synthesis: Metal-Catalyzed Cyclization Reactions Vol. 1</v>
      </c>
      <c r="B95" t="str">
        <f>"9783131998712"</f>
        <v>9783131998712</v>
      </c>
      <c r="C95">
        <v>208</v>
      </c>
      <c r="D95" t="str">
        <f t="shared" si="10"/>
        <v>EUR</v>
      </c>
      <c r="E95" t="str">
        <f t="shared" si="11"/>
        <v>2017</v>
      </c>
      <c r="F95" t="str">
        <f>"Ma Shengming"</f>
        <v>Ma Shengming</v>
      </c>
      <c r="G95" t="str">
        <f>"Parsian Publication"</f>
        <v>Parsian Publication</v>
      </c>
    </row>
    <row r="96" spans="1:7" x14ac:dyDescent="0.25">
      <c r="A96" t="str">
        <f>"Science of Synthesis: Metal-Catalyzed Cyclization Reactions, Workbench Edition"</f>
        <v>Science of Synthesis: Metal-Catalyzed Cyclization Reactions, Workbench Edition</v>
      </c>
      <c r="B96" t="str">
        <f>"9783132411685"</f>
        <v>9783132411685</v>
      </c>
      <c r="C96">
        <v>208</v>
      </c>
      <c r="D96" t="str">
        <f t="shared" si="10"/>
        <v>EUR</v>
      </c>
      <c r="E96" t="str">
        <f t="shared" si="11"/>
        <v>2017</v>
      </c>
      <c r="F96" t="str">
        <f>"Ma Shengming"</f>
        <v>Ma Shengming</v>
      </c>
      <c r="G96" t="str">
        <f>"Parsian Publication"</f>
        <v>Parsian Publication</v>
      </c>
    </row>
    <row r="97" spans="1:7" x14ac:dyDescent="0.25">
      <c r="A97" t="str">
        <f>"Science of Synthesis: Metal-Catalyzed Cyclization Reactions, Workbench Edition"</f>
        <v>Science of Synthesis: Metal-Catalyzed Cyclization Reactions, Workbench Edition</v>
      </c>
      <c r="B97" t="str">
        <f>"9783132411685"</f>
        <v>9783132411685</v>
      </c>
      <c r="C97">
        <v>208</v>
      </c>
      <c r="D97" t="str">
        <f t="shared" si="10"/>
        <v>EUR</v>
      </c>
      <c r="E97" t="str">
        <f t="shared" si="11"/>
        <v>2017</v>
      </c>
      <c r="F97" t="str">
        <f>"Ma Shengming"</f>
        <v>Ma Shengming</v>
      </c>
      <c r="G97" t="str">
        <f>"arang"</f>
        <v>arang</v>
      </c>
    </row>
    <row r="98" spans="1:7" x14ac:dyDescent="0.25">
      <c r="A98" t="str">
        <f>"Science of Synthesis: N-Heterocyclic Carbenes in Catalytic Organic Synthesis Vol. 1"</f>
        <v>Science of Synthesis: N-Heterocyclic Carbenes in Catalytic Organic Synthesis Vol. 1</v>
      </c>
      <c r="B98" t="str">
        <f>"9783132012813"</f>
        <v>9783132012813</v>
      </c>
      <c r="C98">
        <v>2400</v>
      </c>
      <c r="D98" t="str">
        <f t="shared" si="10"/>
        <v>EUR</v>
      </c>
      <c r="E98" t="str">
        <f t="shared" si="11"/>
        <v>2017</v>
      </c>
      <c r="F98" t="str">
        <f>"Nolan"</f>
        <v>Nolan</v>
      </c>
      <c r="G98" t="str">
        <f>"arang"</f>
        <v>arang</v>
      </c>
    </row>
    <row r="99" spans="1:7" x14ac:dyDescent="0.25">
      <c r="A99" t="str">
        <f>"Science of Synthesis: N-Heterocyclic Carbenes in Catalytic Organic Synthesis Vol. 1"</f>
        <v>Science of Synthesis: N-Heterocyclic Carbenes in Catalytic Organic Synthesis Vol. 1</v>
      </c>
      <c r="B99" t="str">
        <f>"9783132012813"</f>
        <v>9783132012813</v>
      </c>
      <c r="C99">
        <v>2400</v>
      </c>
      <c r="D99" t="str">
        <f t="shared" si="10"/>
        <v>EUR</v>
      </c>
      <c r="E99" t="str">
        <f t="shared" si="11"/>
        <v>2017</v>
      </c>
      <c r="F99" t="str">
        <f>"Nolan"</f>
        <v>Nolan</v>
      </c>
      <c r="G99" t="str">
        <f>"Parsian Publication"</f>
        <v>Parsian Publication</v>
      </c>
    </row>
    <row r="100" spans="1:7" x14ac:dyDescent="0.25">
      <c r="A100" t="str">
        <f>"Self Assessment &amp; Review of Biochemistry"</f>
        <v>Self Assessment &amp; Review of Biochemistry</v>
      </c>
      <c r="B100" t="str">
        <f>"9789386322401"</f>
        <v>9789386322401</v>
      </c>
      <c r="C100">
        <v>32</v>
      </c>
      <c r="D100" t="str">
        <f t="shared" ref="D100:D116" si="12">"USD"</f>
        <v>USD</v>
      </c>
      <c r="E100" t="str">
        <f t="shared" si="11"/>
        <v>2017</v>
      </c>
      <c r="F100" t="str">
        <f>"Perumcheril"</f>
        <v>Perumcheril</v>
      </c>
      <c r="G100" t="str">
        <f>"arang"</f>
        <v>arang</v>
      </c>
    </row>
    <row r="101" spans="1:7" x14ac:dyDescent="0.25">
      <c r="A101" t="str">
        <f>"Self Assessment &amp; Review of Biochemistry"</f>
        <v>Self Assessment &amp; Review of Biochemistry</v>
      </c>
      <c r="B101" t="str">
        <f>"9789351525554"</f>
        <v>9789351525554</v>
      </c>
      <c r="C101">
        <v>21</v>
      </c>
      <c r="D101" t="str">
        <f t="shared" si="12"/>
        <v>USD</v>
      </c>
      <c r="E101" t="str">
        <f>"2015"</f>
        <v>2015</v>
      </c>
      <c r="F101" t="str">
        <f>"James"</f>
        <v>James</v>
      </c>
      <c r="G101" t="str">
        <f>"Parsian Publication"</f>
        <v>Parsian Publication</v>
      </c>
    </row>
    <row r="102" spans="1:7" x14ac:dyDescent="0.25">
      <c r="A102" t="str">
        <f>"Self Assessment &amp; Review of Biochemistry"</f>
        <v>Self Assessment &amp; Review of Biochemistry</v>
      </c>
      <c r="B102" t="str">
        <f>"9789386322401"</f>
        <v>9789386322401</v>
      </c>
      <c r="C102">
        <v>32</v>
      </c>
      <c r="D102" t="str">
        <f t="shared" si="12"/>
        <v>USD</v>
      </c>
      <c r="E102" t="str">
        <f>"2017"</f>
        <v>2017</v>
      </c>
      <c r="F102" t="str">
        <f>"Perumcheril"</f>
        <v>Perumcheril</v>
      </c>
      <c r="G102" t="str">
        <f>"Parsian Publication"</f>
        <v>Parsian Publication</v>
      </c>
    </row>
    <row r="103" spans="1:7" x14ac:dyDescent="0.25">
      <c r="A103" t="str">
        <f>"Self Assessment and Review of Biochemistry"</f>
        <v>Self Assessment and Review of Biochemistry</v>
      </c>
      <c r="B103" t="str">
        <f>"9789385891748"</f>
        <v>9789385891748</v>
      </c>
      <c r="C103">
        <v>30</v>
      </c>
      <c r="D103" t="str">
        <f t="shared" si="12"/>
        <v>USD</v>
      </c>
      <c r="E103" t="str">
        <f>"2016"</f>
        <v>2016</v>
      </c>
      <c r="F103" t="str">
        <f>"James"</f>
        <v>James</v>
      </c>
      <c r="G103" t="str">
        <f>"arang"</f>
        <v>arang</v>
      </c>
    </row>
    <row r="104" spans="1:7" x14ac:dyDescent="0.25">
      <c r="A104" t="str">
        <f>"Self Assessment and Review of Biochemistry"</f>
        <v>Self Assessment and Review of Biochemistry</v>
      </c>
      <c r="B104" t="str">
        <f>"9789385891748"</f>
        <v>9789385891748</v>
      </c>
      <c r="C104">
        <v>30</v>
      </c>
      <c r="D104" t="str">
        <f t="shared" si="12"/>
        <v>USD</v>
      </c>
      <c r="E104" t="str">
        <f>"2016"</f>
        <v>2016</v>
      </c>
      <c r="F104" t="str">
        <f>"James"</f>
        <v>James</v>
      </c>
      <c r="G104" t="str">
        <f>"Parsian Publication"</f>
        <v>Parsian Publication</v>
      </c>
    </row>
    <row r="105" spans="1:7" x14ac:dyDescent="0.25">
      <c r="A105" t="str">
        <f>"Simplified Practical Manual of Biochemistry"</f>
        <v>Simplified Practical Manual of Biochemistry</v>
      </c>
      <c r="B105" t="str">
        <f>"9789352702619"</f>
        <v>9789352702619</v>
      </c>
      <c r="C105">
        <v>34</v>
      </c>
      <c r="D105" t="str">
        <f t="shared" si="12"/>
        <v>USD</v>
      </c>
      <c r="E105" t="str">
        <f>"2018"</f>
        <v>2018</v>
      </c>
      <c r="F105" t="str">
        <f>"Gogoi"</f>
        <v>Gogoi</v>
      </c>
      <c r="G105" t="str">
        <f>"Parsian Publication"</f>
        <v>Parsian Publication</v>
      </c>
    </row>
    <row r="106" spans="1:7" x14ac:dyDescent="0.25">
      <c r="A106" t="str">
        <f>"Simplified Practical Manual of Biochemistry"</f>
        <v>Simplified Practical Manual of Biochemistry</v>
      </c>
      <c r="B106" t="str">
        <f>"9789352702619"</f>
        <v>9789352702619</v>
      </c>
      <c r="C106">
        <v>34</v>
      </c>
      <c r="D106" t="str">
        <f t="shared" si="12"/>
        <v>USD</v>
      </c>
      <c r="E106" t="str">
        <f>"2018"</f>
        <v>2018</v>
      </c>
      <c r="F106" t="str">
        <f>"Gogoi"</f>
        <v>Gogoi</v>
      </c>
      <c r="G106" t="str">
        <f>"arang"</f>
        <v>arang</v>
      </c>
    </row>
    <row r="107" spans="1:7" x14ac:dyDescent="0.25">
      <c r="A107" t="str">
        <f>"Student Solutions Manual for Silberberg Chemistry: The Molecular Nature of Matter and Change"</f>
        <v>Student Solutions Manual for Silberberg Chemistry: The Molecular Nature of Matter and Change</v>
      </c>
      <c r="B107" t="str">
        <f>"9780073518299"</f>
        <v>9780073518299</v>
      </c>
      <c r="C107">
        <v>97.75</v>
      </c>
      <c r="D107" t="str">
        <f t="shared" si="12"/>
        <v>USD</v>
      </c>
      <c r="E107" t="str">
        <f>"2014"</f>
        <v>2014</v>
      </c>
      <c r="F107" t="str">
        <f>"Silberberg"</f>
        <v>Silberberg</v>
      </c>
      <c r="G107" t="str">
        <f>"Parsian Publication"</f>
        <v>Parsian Publication</v>
      </c>
    </row>
    <row r="108" spans="1:7" x14ac:dyDescent="0.25">
      <c r="A108" t="str">
        <f>"Textbook of Biochemistry for Dental Students"</f>
        <v>Textbook of Biochemistry for Dental Students</v>
      </c>
      <c r="B108" t="str">
        <f>"9789352701148"</f>
        <v>9789352701148</v>
      </c>
      <c r="C108">
        <v>34</v>
      </c>
      <c r="D108" t="str">
        <f t="shared" si="12"/>
        <v>USD</v>
      </c>
      <c r="E108" t="str">
        <f>"2018"</f>
        <v>2018</v>
      </c>
      <c r="F108" t="str">
        <f>"Vasudevan"</f>
        <v>Vasudevan</v>
      </c>
      <c r="G108" t="str">
        <f>"arang"</f>
        <v>arang</v>
      </c>
    </row>
    <row r="109" spans="1:7" x14ac:dyDescent="0.25">
      <c r="A109" t="str">
        <f>"Textbook of Biochemistry for Dental Students"</f>
        <v>Textbook of Biochemistry for Dental Students</v>
      </c>
      <c r="B109" t="str">
        <f>"9789352701148"</f>
        <v>9789352701148</v>
      </c>
      <c r="C109">
        <v>34</v>
      </c>
      <c r="D109" t="str">
        <f t="shared" si="12"/>
        <v>USD</v>
      </c>
      <c r="E109" t="str">
        <f>"2018"</f>
        <v>2018</v>
      </c>
      <c r="F109" t="str">
        <f>"Vasudevan"</f>
        <v>Vasudevan</v>
      </c>
      <c r="G109" t="str">
        <f>"Parsian Publication"</f>
        <v>Parsian Publication</v>
      </c>
    </row>
    <row r="110" spans="1:7" x14ac:dyDescent="0.25">
      <c r="A110" t="str">
        <f>"Textbook of Biochemistry for Medical Students"</f>
        <v>Textbook of Biochemistry for Medical Students</v>
      </c>
      <c r="B110" t="str">
        <f>"9789385999741"</f>
        <v>9789385999741</v>
      </c>
      <c r="C110">
        <v>22.5</v>
      </c>
      <c r="D110" t="str">
        <f t="shared" si="12"/>
        <v>USD</v>
      </c>
      <c r="E110" t="str">
        <f>"2016"</f>
        <v>2016</v>
      </c>
      <c r="F110" t="str">
        <f>"Vasudevan"</f>
        <v>Vasudevan</v>
      </c>
      <c r="G110" t="str">
        <f>"Parsian Publication"</f>
        <v>Parsian Publication</v>
      </c>
    </row>
    <row r="111" spans="1:7" x14ac:dyDescent="0.25">
      <c r="A111" t="str">
        <f>"Textbook of Biochemistry for Medical Students"</f>
        <v>Textbook of Biochemistry for Medical Students</v>
      </c>
      <c r="B111" t="str">
        <f>"9789385999741"</f>
        <v>9789385999741</v>
      </c>
      <c r="C111">
        <v>22.5</v>
      </c>
      <c r="D111" t="str">
        <f t="shared" si="12"/>
        <v>USD</v>
      </c>
      <c r="E111" t="str">
        <f>"2016"</f>
        <v>2016</v>
      </c>
      <c r="F111" t="str">
        <f>"Vasudevan"</f>
        <v>Vasudevan</v>
      </c>
      <c r="G111" t="str">
        <f>"arang"</f>
        <v>arang</v>
      </c>
    </row>
    <row r="112" spans="1:7" x14ac:dyDescent="0.25">
      <c r="A112" t="str">
        <f>"Textbook of Biochemistry for Medical Students with Revision Exercises"</f>
        <v>Textbook of Biochemistry for Medical Students with Revision Exercises</v>
      </c>
      <c r="B112" t="str">
        <f>"9789350905302"</f>
        <v>9789350905302</v>
      </c>
      <c r="C112">
        <v>22.75</v>
      </c>
      <c r="D112" t="str">
        <f t="shared" si="12"/>
        <v>USD</v>
      </c>
      <c r="E112" t="str">
        <f>"2014"</f>
        <v>2014</v>
      </c>
      <c r="F112" t="str">
        <f>"Vasudevan"</f>
        <v>Vasudevan</v>
      </c>
      <c r="G112" t="str">
        <f>"Parsian Publication"</f>
        <v>Parsian Publication</v>
      </c>
    </row>
    <row r="113" spans="1:7" x14ac:dyDescent="0.25">
      <c r="A113" t="str">
        <f>"Textbook of Biochemistry for Paramedical Students"</f>
        <v>Textbook of Biochemistry for Paramedical Students</v>
      </c>
      <c r="B113" t="str">
        <f>"9789351529255"</f>
        <v>9789351529255</v>
      </c>
      <c r="C113">
        <v>14</v>
      </c>
      <c r="D113" t="str">
        <f t="shared" si="12"/>
        <v>USD</v>
      </c>
      <c r="E113" t="str">
        <f>"2015"</f>
        <v>2015</v>
      </c>
      <c r="F113" t="str">
        <f>"Ramamoorthy"</f>
        <v>Ramamoorthy</v>
      </c>
      <c r="G113" t="str">
        <f>"Parsian Publication"</f>
        <v>Parsian Publication</v>
      </c>
    </row>
    <row r="114" spans="1:7" x14ac:dyDescent="0.25">
      <c r="A114" t="str">
        <f>"Textbook of Medical Biochemistry"</f>
        <v>Textbook of Medical Biochemistry</v>
      </c>
      <c r="B114" t="str">
        <f>"9789350254844"</f>
        <v>9789350254844</v>
      </c>
      <c r="C114">
        <v>22.8</v>
      </c>
      <c r="D114" t="str">
        <f t="shared" si="12"/>
        <v>USD</v>
      </c>
      <c r="E114" t="str">
        <f>"2012"</f>
        <v>2012</v>
      </c>
      <c r="F114" t="str">
        <f>"Mn Chatterje"</f>
        <v>Mn Chatterje</v>
      </c>
      <c r="G114" t="str">
        <f>"Parsian Publication"</f>
        <v>Parsian Publication</v>
      </c>
    </row>
    <row r="115" spans="1:7" x14ac:dyDescent="0.25">
      <c r="A115" t="str">
        <f>"The Organic Chemistry of Drug Design and Drug Action"</f>
        <v>The Organic Chemistry of Drug Design and Drug Action</v>
      </c>
      <c r="B115" t="str">
        <f>"9780123820303"</f>
        <v>9780123820303</v>
      </c>
      <c r="C115">
        <v>65</v>
      </c>
      <c r="D115" t="str">
        <f t="shared" si="12"/>
        <v>USD</v>
      </c>
      <c r="E115" t="str">
        <f>"2014"</f>
        <v>2014</v>
      </c>
      <c r="F115" t="str">
        <f>"Silverman"</f>
        <v>Silverman</v>
      </c>
      <c r="G115" t="str">
        <f>"Parsian Publication"</f>
        <v>Parsian Publication</v>
      </c>
    </row>
    <row r="116" spans="1:7" x14ac:dyDescent="0.25">
      <c r="A116" t="str">
        <f>"Waste: A Handbook for Management"</f>
        <v>Waste: A Handbook for Management</v>
      </c>
      <c r="B116" t="str">
        <f>"9780123814753"</f>
        <v>9780123814753</v>
      </c>
      <c r="C116">
        <v>52.25</v>
      </c>
      <c r="D116" t="str">
        <f t="shared" si="12"/>
        <v>USD</v>
      </c>
      <c r="E116" t="str">
        <f>"2011"</f>
        <v>2011</v>
      </c>
      <c r="F116" t="str">
        <f>"Vallero"</f>
        <v>Vallero</v>
      </c>
      <c r="G116" t="str">
        <f>"Parsian Publication"</f>
        <v>Parsian Publication</v>
      </c>
    </row>
    <row r="118" spans="1:7" ht="15" customHeight="1" x14ac:dyDescent="0.25">
      <c r="A118" s="1" t="s">
        <v>8</v>
      </c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3" t="s">
        <v>0</v>
      </c>
      <c r="B120" s="4" t="s">
        <v>1</v>
      </c>
      <c r="C120" s="3" t="s">
        <v>2</v>
      </c>
      <c r="D120" s="3" t="s">
        <v>3</v>
      </c>
      <c r="E120" s="3" t="s">
        <v>4</v>
      </c>
      <c r="F120" s="3" t="s">
        <v>5</v>
      </c>
      <c r="G120" s="3" t="s">
        <v>6</v>
      </c>
    </row>
    <row r="121" spans="1:7" x14ac:dyDescent="0.25">
      <c r="A121" t="str">
        <f>"[Set Pharmaceutical Chemistry, Vol. 1+2]"</f>
        <v>[Set Pharmaceutical Chemistry, Vol. 1+2]</v>
      </c>
      <c r="B121" t="str">
        <f>"9783110566802"</f>
        <v>9783110566802</v>
      </c>
      <c r="C121">
        <v>80.95</v>
      </c>
      <c r="D121" t="str">
        <f>"EUR"</f>
        <v>EUR</v>
      </c>
      <c r="E121" t="str">
        <f>"2017"</f>
        <v>2017</v>
      </c>
      <c r="F121" t="str">
        <f>"Campos Rosa, Joaqu?"</f>
        <v>Campos Rosa, Joaqu?</v>
      </c>
      <c r="G121" t="str">
        <f>"AsarBartar"</f>
        <v>AsarBartar</v>
      </c>
    </row>
    <row r="122" spans="1:7" x14ac:dyDescent="0.25">
      <c r="A122" t="str">
        <f>"20% Chance of Rain: Exploring the Concept of Risk"</f>
        <v>20% Chance of Rain: Exploring the Concept of Risk</v>
      </c>
      <c r="B122" t="str">
        <f>"9780470592410"</f>
        <v>9780470592410</v>
      </c>
      <c r="C122">
        <v>18.399999999999999</v>
      </c>
      <c r="D122" t="str">
        <f>"USD"</f>
        <v>USD</v>
      </c>
      <c r="E122" t="str">
        <f>"2011"</f>
        <v>2011</v>
      </c>
      <c r="F122" t="str">
        <f>"Jones"</f>
        <v>Jones</v>
      </c>
      <c r="G122" t="str">
        <f>"avanddanesh"</f>
        <v>avanddanesh</v>
      </c>
    </row>
    <row r="123" spans="1:7" x14ac:dyDescent="0.25">
      <c r="A123" t="str">
        <f>"A CONCEPTUAL INTRODUCTION TO CHEMISTRY WITH ARIS"</f>
        <v>A CONCEPTUAL INTRODUCTION TO CHEMISTRY WITH ARIS</v>
      </c>
      <c r="B123" t="str">
        <f>"9780071107945"</f>
        <v>9780071107945</v>
      </c>
      <c r="C123">
        <v>27.57</v>
      </c>
      <c r="D123" t="str">
        <f>"USD"</f>
        <v>USD</v>
      </c>
      <c r="E123" t="str">
        <f>"2006"</f>
        <v>2006</v>
      </c>
      <c r="F123" t="str">
        <f>"BAUER"</f>
        <v>BAUER</v>
      </c>
      <c r="G123" t="str">
        <f>"safirketab"</f>
        <v>safirketab</v>
      </c>
    </row>
    <row r="124" spans="1:7" x14ac:dyDescent="0.25">
      <c r="A124" t="str">
        <f>"A Festival of Chemistry Entertainments (Acs Symposium Series)"</f>
        <v>A Festival of Chemistry Entertainments (Acs Symposium Series)</v>
      </c>
      <c r="B124" t="str">
        <f>"9780841229075"</f>
        <v>9780841229075</v>
      </c>
      <c r="C124">
        <v>58.2</v>
      </c>
      <c r="D124" t="str">
        <f>"GBP"</f>
        <v>GBP</v>
      </c>
      <c r="E124" t="str">
        <f>"2013"</f>
        <v>2013</v>
      </c>
      <c r="F124" t="str">
        <f>"Natalie Foster(Edit"</f>
        <v>Natalie Foster(Edit</v>
      </c>
      <c r="G124" t="str">
        <f>"AsarBartar"</f>
        <v>AsarBartar</v>
      </c>
    </row>
    <row r="125" spans="1:7" x14ac:dyDescent="0.25">
      <c r="A125" t="str">
        <f>"A Flash of Light"</f>
        <v>A Flash of Light</v>
      </c>
      <c r="B125" t="str">
        <f>"9781782627319"</f>
        <v>9781782627319</v>
      </c>
      <c r="C125">
        <v>7.8</v>
      </c>
      <c r="D125" t="str">
        <f>"GBP"</f>
        <v>GBP</v>
      </c>
      <c r="E125" t="str">
        <f>"2016"</f>
        <v>2016</v>
      </c>
      <c r="F125" t="str">
        <f>"Andy Miah andÂ Mark L"</f>
        <v>Andy Miah andÂ Mark L</v>
      </c>
      <c r="G125" t="str">
        <f>"arzinbooks"</f>
        <v>arzinbooks</v>
      </c>
    </row>
    <row r="126" spans="1:7" x14ac:dyDescent="0.25">
      <c r="A126" t="str">
        <f>"A Systems Approach to Managing the Complexities of Process Industries"</f>
        <v>A Systems Approach to Managing the Complexities of Process Industries</v>
      </c>
      <c r="B126" t="str">
        <f>"9780128042137"</f>
        <v>9780128042137</v>
      </c>
      <c r="C126">
        <v>99</v>
      </c>
      <c r="D126" t="str">
        <f t="shared" ref="D126:D133" si="13">"USD"</f>
        <v>USD</v>
      </c>
      <c r="E126" t="str">
        <f>"2017"</f>
        <v>2017</v>
      </c>
      <c r="F126" t="str">
        <f>"Salimi"</f>
        <v>Salimi</v>
      </c>
      <c r="G126" t="str">
        <f>"dehkadehketab"</f>
        <v>dehkadehketab</v>
      </c>
    </row>
    <row r="127" spans="1:7" x14ac:dyDescent="0.25">
      <c r="A127" t="str">
        <f>"Aberration-corrected Analytical Electron Microscopy"</f>
        <v>Aberration-corrected Analytical Electron Microscopy</v>
      </c>
      <c r="B127" t="str">
        <f>"9780470518519"</f>
        <v>9780470518519</v>
      </c>
      <c r="C127">
        <v>24</v>
      </c>
      <c r="D127" t="str">
        <f t="shared" si="13"/>
        <v>USD</v>
      </c>
      <c r="E127" t="str">
        <f>"2011"</f>
        <v>2011</v>
      </c>
      <c r="F127" t="str">
        <f>"Brydson"</f>
        <v>Brydson</v>
      </c>
      <c r="G127" t="str">
        <f>"avanddanesh"</f>
        <v>avanddanesh</v>
      </c>
    </row>
    <row r="128" spans="1:7" x14ac:dyDescent="0.25">
      <c r="A128" t="str">
        <f>"Acid Gas Injection and Carbon Dioxide Sequestration"</f>
        <v>Acid Gas Injection and Carbon Dioxide Sequestration</v>
      </c>
      <c r="B128" t="str">
        <f>"9780470625934"</f>
        <v>9780470625934</v>
      </c>
      <c r="C128">
        <v>86.8</v>
      </c>
      <c r="D128" t="str">
        <f t="shared" si="13"/>
        <v>USD</v>
      </c>
      <c r="E128" t="str">
        <f>"2010"</f>
        <v>2010</v>
      </c>
      <c r="F128" t="str">
        <f>"Carroll"</f>
        <v>Carroll</v>
      </c>
      <c r="G128" t="str">
        <f>"safirketab"</f>
        <v>safirketab</v>
      </c>
    </row>
    <row r="129" spans="1:7" x14ac:dyDescent="0.25">
      <c r="A129" t="str">
        <f>"Activating Unreactive Substrates: The Role of Secondary Interactions"</f>
        <v>Activating Unreactive Substrates: The Role of Secondary Interactions</v>
      </c>
      <c r="B129" t="str">
        <f>"9783527318230"</f>
        <v>9783527318230</v>
      </c>
      <c r="C129">
        <v>108.4</v>
      </c>
      <c r="D129" t="str">
        <f t="shared" si="13"/>
        <v>USD</v>
      </c>
      <c r="E129" t="str">
        <f>"2009"</f>
        <v>2009</v>
      </c>
      <c r="F129" t="str">
        <f>"Bolm"</f>
        <v>Bolm</v>
      </c>
      <c r="G129" t="str">
        <f>"avanddanesh"</f>
        <v>avanddanesh</v>
      </c>
    </row>
    <row r="130" spans="1:7" x14ac:dyDescent="0.25">
      <c r="A130" t="str">
        <f>"Activating Unreactive Substrates:The Role of Secondary Interactions"</f>
        <v>Activating Unreactive Substrates:The Role of Secondary Interactions</v>
      </c>
      <c r="B130" t="str">
        <f>"9783527318230"</f>
        <v>9783527318230</v>
      </c>
      <c r="C130">
        <v>108.4</v>
      </c>
      <c r="D130" t="str">
        <f t="shared" si="13"/>
        <v>USD</v>
      </c>
      <c r="E130" t="str">
        <f>"2009"</f>
        <v>2009</v>
      </c>
      <c r="F130" t="str">
        <f>"Bolm"</f>
        <v>Bolm</v>
      </c>
      <c r="G130" t="str">
        <f>"safirketab"</f>
        <v>safirketab</v>
      </c>
    </row>
    <row r="131" spans="1:7" x14ac:dyDescent="0.25">
      <c r="A131" t="str">
        <f>"Advanced ESR Methods in Polymer Research"</f>
        <v>Advanced ESR Methods in Polymer Research</v>
      </c>
      <c r="B131" t="str">
        <f>"9780471731894"</f>
        <v>9780471731894</v>
      </c>
      <c r="C131">
        <v>118.2</v>
      </c>
      <c r="D131" t="str">
        <f t="shared" si="13"/>
        <v>USD</v>
      </c>
      <c r="E131" t="str">
        <f>"2006"</f>
        <v>2006</v>
      </c>
      <c r="F131" t="str">
        <f>"Schlick"</f>
        <v>Schlick</v>
      </c>
      <c r="G131" t="str">
        <f>"safirketab"</f>
        <v>safirketab</v>
      </c>
    </row>
    <row r="132" spans="1:7" x14ac:dyDescent="0.25">
      <c r="A132" t="str">
        <f>"Advanced Inorganic Chemistry, Applications in Everyday Life"</f>
        <v>Advanced Inorganic Chemistry, Applications in Everyday Life</v>
      </c>
      <c r="B132" t="str">
        <f>"9780128019825"</f>
        <v>9780128019825</v>
      </c>
      <c r="C132">
        <v>90</v>
      </c>
      <c r="D132" t="str">
        <f t="shared" si="13"/>
        <v>USD</v>
      </c>
      <c r="E132" t="str">
        <f>"2017"</f>
        <v>2017</v>
      </c>
      <c r="F132" t="str">
        <f>"Hosmane"</f>
        <v>Hosmane</v>
      </c>
      <c r="G132" t="str">
        <f>"dehkadehketab"</f>
        <v>dehkadehketab</v>
      </c>
    </row>
    <row r="133" spans="1:7" x14ac:dyDescent="0.25">
      <c r="A133" t="str">
        <f>"Advanced Materials Innovation: Managing Global Technology in the 21st century"</f>
        <v>Advanced Materials Innovation: Managing Global Technology in the 21st century</v>
      </c>
      <c r="B133" t="str">
        <f>"9780470508923"</f>
        <v>9780470508923</v>
      </c>
      <c r="C133">
        <v>127.5</v>
      </c>
      <c r="D133" t="str">
        <f t="shared" si="13"/>
        <v>USD</v>
      </c>
      <c r="E133" t="str">
        <f>"2016"</f>
        <v>2016</v>
      </c>
      <c r="F133" t="str">
        <f>"Moskowitz"</f>
        <v>Moskowitz</v>
      </c>
      <c r="G133" t="str">
        <f>"avanddanesh"</f>
        <v>avanddanesh</v>
      </c>
    </row>
    <row r="134" spans="1:7" x14ac:dyDescent="0.25">
      <c r="A134" t="str">
        <f>"Advanced Photon Counting: Applications. Methods. Instrumentation"</f>
        <v>Advanced Photon Counting: Applications. Methods. Instrumentation</v>
      </c>
      <c r="B134" t="str">
        <f>"9783319156354"</f>
        <v>9783319156354</v>
      </c>
      <c r="C134">
        <v>251.99</v>
      </c>
      <c r="D134" t="str">
        <f>"EUR"</f>
        <v>EUR</v>
      </c>
      <c r="E134" t="str">
        <f>"2015"</f>
        <v>2015</v>
      </c>
      <c r="F134" t="str">
        <f>"Kapusta"</f>
        <v>Kapusta</v>
      </c>
      <c r="G134" t="str">
        <f>"negarestanabi"</f>
        <v>negarestanabi</v>
      </c>
    </row>
    <row r="135" spans="1:7" x14ac:dyDescent="0.25">
      <c r="A135" t="str">
        <f>"Advanced Processing and Manufacturing Technologies for Nanostructured and Multifunctional Materials II"</f>
        <v>Advanced Processing and Manufacturing Technologies for Nanostructured and Multifunctional Materials II</v>
      </c>
      <c r="B135" t="str">
        <f>"9781119211655"</f>
        <v>9781119211655</v>
      </c>
      <c r="C135">
        <v>170</v>
      </c>
      <c r="D135" t="str">
        <f>"USD"</f>
        <v>USD</v>
      </c>
      <c r="E135" t="str">
        <f>"2016"</f>
        <v>2016</v>
      </c>
      <c r="F135" t="str">
        <f>"Ohji"</f>
        <v>Ohji</v>
      </c>
      <c r="G135" t="str">
        <f>"avanddanesh"</f>
        <v>avanddanesh</v>
      </c>
    </row>
    <row r="136" spans="1:7" x14ac:dyDescent="0.25">
      <c r="A136" t="str">
        <f>"Advanced Time-Correlated Single Photon Counting Applications"</f>
        <v>Advanced Time-Correlated Single Photon Counting Applications</v>
      </c>
      <c r="B136" t="str">
        <f>"9783319149288"</f>
        <v>9783319149288</v>
      </c>
      <c r="C136">
        <v>152.99</v>
      </c>
      <c r="D136" t="str">
        <f>"EUR"</f>
        <v>EUR</v>
      </c>
      <c r="E136" t="str">
        <f>"2015"</f>
        <v>2015</v>
      </c>
      <c r="F136" t="str">
        <f>"Becker"</f>
        <v>Becker</v>
      </c>
      <c r="G136" t="str">
        <f>"negarestanabi"</f>
        <v>negarestanabi</v>
      </c>
    </row>
    <row r="137" spans="1:7" x14ac:dyDescent="0.25">
      <c r="A137" t="str">
        <f>"Advances in Asymmetric Autocatalysis and Related Topics"</f>
        <v>Advances in Asymmetric Autocatalysis and Related Topics</v>
      </c>
      <c r="B137" t="str">
        <f>"9780128128015"</f>
        <v>9780128128015</v>
      </c>
      <c r="C137">
        <v>171</v>
      </c>
      <c r="D137" t="str">
        <f>"USD"</f>
        <v>USD</v>
      </c>
      <c r="E137" t="str">
        <f>"2017"</f>
        <v>2017</v>
      </c>
      <c r="F137" t="str">
        <f>"Palyi et al"</f>
        <v>Palyi et al</v>
      </c>
      <c r="G137" t="str">
        <f>"dehkadehketab"</f>
        <v>dehkadehketab</v>
      </c>
    </row>
    <row r="138" spans="1:7" x14ac:dyDescent="0.25">
      <c r="A138" t="str">
        <f>"Advances in Bioceramics and Biotechnologies II"</f>
        <v>Advances in Bioceramics and Biotechnologies II</v>
      </c>
      <c r="B138" t="str">
        <f>"9781118771396"</f>
        <v>9781118771396</v>
      </c>
      <c r="C138">
        <v>99.8</v>
      </c>
      <c r="D138" t="str">
        <f>"USD"</f>
        <v>USD</v>
      </c>
      <c r="E138" t="str">
        <f>"2014"</f>
        <v>2014</v>
      </c>
      <c r="F138" t="str">
        <f>"McKittrick"</f>
        <v>McKittrick</v>
      </c>
      <c r="G138" t="str">
        <f>"avanddanesh"</f>
        <v>avanddanesh</v>
      </c>
    </row>
    <row r="139" spans="1:7" x14ac:dyDescent="0.25">
      <c r="A139" t="str">
        <f>"Advances in Bioceramics and Porous Ceramics VIII"</f>
        <v>Advances in Bioceramics and Porous Ceramics VIII</v>
      </c>
      <c r="B139" t="str">
        <f>"9781119211617"</f>
        <v>9781119211617</v>
      </c>
      <c r="C139">
        <v>170</v>
      </c>
      <c r="D139" t="str">
        <f>"USD"</f>
        <v>USD</v>
      </c>
      <c r="E139" t="str">
        <f>"2016"</f>
        <v>2016</v>
      </c>
      <c r="F139" t="str">
        <f>"Narayan"</f>
        <v>Narayan</v>
      </c>
      <c r="G139" t="str">
        <f>"avanddanesh"</f>
        <v>avanddanesh</v>
      </c>
    </row>
    <row r="140" spans="1:7" x14ac:dyDescent="0.25">
      <c r="A140" t="str">
        <f>"Advances in Biological Solid-State NMR: Proteins and Membrane-Active Peptides (New Developments in NMR)"</f>
        <v>Advances in Biological Solid-State NMR: Proteins and Membrane-Active Peptides (New Developments in NMR)</v>
      </c>
      <c r="B140" t="str">
        <f>"9781849739108"</f>
        <v>9781849739108</v>
      </c>
      <c r="C140">
        <v>96.3</v>
      </c>
      <c r="D140" t="str">
        <f>"GBP"</f>
        <v>GBP</v>
      </c>
      <c r="E140" t="str">
        <f>"2014"</f>
        <v>2014</v>
      </c>
      <c r="F140" t="str">
        <f>"FRANCES SEPAROVIC(ED"</f>
        <v>FRANCES SEPAROVIC(ED</v>
      </c>
      <c r="G140" t="str">
        <f>"arzinbooks"</f>
        <v>arzinbooks</v>
      </c>
    </row>
    <row r="141" spans="1:7" x14ac:dyDescent="0.25">
      <c r="A141" t="str">
        <f>"Advances in Biomembranes and Lipid Self-Assembly, Volume25"</f>
        <v>Advances in Biomembranes and Lipid Self-Assembly, Volume25</v>
      </c>
      <c r="B141" t="str">
        <f>"9780128120804"</f>
        <v>9780128120804</v>
      </c>
      <c r="C141">
        <v>204.3</v>
      </c>
      <c r="D141" t="str">
        <f t="shared" ref="D141:D167" si="14">"USD"</f>
        <v>USD</v>
      </c>
      <c r="E141" t="str">
        <f>"2017"</f>
        <v>2017</v>
      </c>
      <c r="F141" t="str">
        <f>"Iglic et al"</f>
        <v>Iglic et al</v>
      </c>
      <c r="G141" t="str">
        <f>"dehkadehketab"</f>
        <v>dehkadehketab</v>
      </c>
    </row>
    <row r="142" spans="1:7" x14ac:dyDescent="0.25">
      <c r="A142" t="str">
        <f>"Advances in Biomembranes and Lipid Self-Assembly, Volume27"</f>
        <v>Advances in Biomembranes and Lipid Self-Assembly, Volume27</v>
      </c>
      <c r="B142" t="str">
        <f>"9780128155639"</f>
        <v>9780128155639</v>
      </c>
      <c r="C142">
        <v>204.3</v>
      </c>
      <c r="D142" t="str">
        <f t="shared" si="14"/>
        <v>USD</v>
      </c>
      <c r="E142" t="str">
        <f>"2018"</f>
        <v>2018</v>
      </c>
      <c r="F142" t="str">
        <f>"Iglic et al"</f>
        <v>Iglic et al</v>
      </c>
      <c r="G142" t="str">
        <f>"dehkadehketab"</f>
        <v>dehkadehketab</v>
      </c>
    </row>
    <row r="143" spans="1:7" x14ac:dyDescent="0.25">
      <c r="A143" t="str">
        <f>"Advances in Chemical Physics"</f>
        <v>Advances in Chemical Physics</v>
      </c>
      <c r="B143" t="str">
        <f>"9780470500255"</f>
        <v>9780470500255</v>
      </c>
      <c r="C143">
        <v>98.8</v>
      </c>
      <c r="D143" t="str">
        <f t="shared" si="14"/>
        <v>USD</v>
      </c>
      <c r="E143" t="str">
        <f>"2009"</f>
        <v>2009</v>
      </c>
      <c r="F143" t="str">
        <f>"Rice"</f>
        <v>Rice</v>
      </c>
      <c r="G143" t="str">
        <f t="shared" ref="G143:G154" si="15">"safirketab"</f>
        <v>safirketab</v>
      </c>
    </row>
    <row r="144" spans="1:7" x14ac:dyDescent="0.25">
      <c r="A144" t="str">
        <f>"Advances in Chemical Physics V132"</f>
        <v>Advances in Chemical Physics V132</v>
      </c>
      <c r="B144" t="str">
        <f>"9780471738428"</f>
        <v>9780471738428</v>
      </c>
      <c r="C144">
        <v>138</v>
      </c>
      <c r="D144" t="str">
        <f t="shared" si="14"/>
        <v>USD</v>
      </c>
      <c r="E144" t="str">
        <f>"2006"</f>
        <v>2006</v>
      </c>
      <c r="F144" t="str">
        <f>"Physical Chemistry"</f>
        <v>Physical Chemistry</v>
      </c>
      <c r="G144" t="str">
        <f t="shared" si="15"/>
        <v>safirketab</v>
      </c>
    </row>
    <row r="145" spans="1:7" x14ac:dyDescent="0.25">
      <c r="A145" t="str">
        <f>"Advances in Chemical Physics V133, Part A, Fractals, Diffusion &amp; Relaxation in Disordered Complex Systems"</f>
        <v>Advances in Chemical Physics V133, Part A, Fractals, Diffusion &amp; Relaxation in Disordered Complex Systems</v>
      </c>
      <c r="B145" t="str">
        <f>"9780471725077"</f>
        <v>9780471725077</v>
      </c>
      <c r="C145">
        <v>132</v>
      </c>
      <c r="D145" t="str">
        <f t="shared" si="14"/>
        <v>USD</v>
      </c>
      <c r="E145" t="str">
        <f>"2006"</f>
        <v>2006</v>
      </c>
      <c r="F145" t="str">
        <f>"Kalmykov"</f>
        <v>Kalmykov</v>
      </c>
      <c r="G145" t="str">
        <f t="shared" si="15"/>
        <v>safirketab</v>
      </c>
    </row>
    <row r="146" spans="1:7" x14ac:dyDescent="0.25">
      <c r="A146" t="str">
        <f>"Advances in Chemical Physics V133, Part B, Fractals, Diffusion &amp; Relaxation in Disordered Complex Systems"</f>
        <v>Advances in Chemical Physics V133, Part B, Fractals, Diffusion &amp; Relaxation in Disordered Complex Systems</v>
      </c>
      <c r="B146" t="str">
        <f>"9780471725084"</f>
        <v>9780471725084</v>
      </c>
      <c r="C146">
        <v>132</v>
      </c>
      <c r="D146" t="str">
        <f t="shared" si="14"/>
        <v>USD</v>
      </c>
      <c r="E146" t="str">
        <f>"2006"</f>
        <v>2006</v>
      </c>
      <c r="F146" t="str">
        <f>"Kalmykov-Chemistry"</f>
        <v>Kalmykov-Chemistry</v>
      </c>
      <c r="G146" t="str">
        <f t="shared" si="15"/>
        <v>safirketab</v>
      </c>
    </row>
    <row r="147" spans="1:7" x14ac:dyDescent="0.25">
      <c r="A147" t="str">
        <f>"Advances in Chemical Physics V134, Reduced-Density-Matrix Mechanics"</f>
        <v>Advances in Chemical Physics V134, Reduced-Density-Matrix Mechanics</v>
      </c>
      <c r="B147" t="str">
        <f>"9780471790563"</f>
        <v>9780471790563</v>
      </c>
      <c r="C147">
        <v>126</v>
      </c>
      <c r="D147" t="str">
        <f t="shared" si="14"/>
        <v>USD</v>
      </c>
      <c r="E147" t="str">
        <f>"2007"</f>
        <v>2007</v>
      </c>
      <c r="F147" t="str">
        <f>"Mazziotti-Chemistry"</f>
        <v>Mazziotti-Chemistry</v>
      </c>
      <c r="G147" t="str">
        <f t="shared" si="15"/>
        <v>safirketab</v>
      </c>
    </row>
    <row r="148" spans="1:7" x14ac:dyDescent="0.25">
      <c r="A148" t="str">
        <f>"Advances in Chemical Physics V135, Prigogine"</f>
        <v>Advances in Chemical Physics V135, Prigogine</v>
      </c>
      <c r="B148" t="str">
        <f>"9780471682332"</f>
        <v>9780471682332</v>
      </c>
      <c r="C148">
        <v>126</v>
      </c>
      <c r="D148" t="str">
        <f t="shared" si="14"/>
        <v>USD</v>
      </c>
      <c r="E148" t="str">
        <f>"2007"</f>
        <v>2007</v>
      </c>
      <c r="F148" t="str">
        <f>"Rice"</f>
        <v>Rice</v>
      </c>
      <c r="G148" t="str">
        <f t="shared" si="15"/>
        <v>safirketab</v>
      </c>
    </row>
    <row r="149" spans="1:7" x14ac:dyDescent="0.25">
      <c r="A149" t="str">
        <f>"Advances in Chemical Physics V136"</f>
        <v>Advances in Chemical Physics V136</v>
      </c>
      <c r="B149" t="str">
        <f>"9780471682325"</f>
        <v>9780471682325</v>
      </c>
      <c r="C149">
        <v>126</v>
      </c>
      <c r="D149" t="str">
        <f t="shared" si="14"/>
        <v>USD</v>
      </c>
      <c r="E149" t="str">
        <f>"2007"</f>
        <v>2007</v>
      </c>
      <c r="F149" t="str">
        <f>"Rice"</f>
        <v>Rice</v>
      </c>
      <c r="G149" t="str">
        <f t="shared" si="15"/>
        <v>safirketab</v>
      </c>
    </row>
    <row r="150" spans="1:7" x14ac:dyDescent="0.25">
      <c r="A150" t="str">
        <f>"Advances in Chemical Physics V137"</f>
        <v>Advances in Chemical Physics V137</v>
      </c>
      <c r="B150" t="str">
        <f>"9780471435730"</f>
        <v>9780471435730</v>
      </c>
      <c r="C150">
        <v>126</v>
      </c>
      <c r="D150" t="str">
        <f t="shared" si="14"/>
        <v>USD</v>
      </c>
      <c r="E150" t="str">
        <f>"2008"</f>
        <v>2008</v>
      </c>
      <c r="F150" t="str">
        <f>"Rice-Chemistry"</f>
        <v>Rice-Chemistry</v>
      </c>
      <c r="G150" t="str">
        <f t="shared" si="15"/>
        <v>safirketab</v>
      </c>
    </row>
    <row r="151" spans="1:7" x14ac:dyDescent="0.25">
      <c r="A151" t="str">
        <f>"Advances in Chemical Physics V138"</f>
        <v>Advances in Chemical Physics V138</v>
      </c>
      <c r="B151" t="str">
        <f>"9780471682349"</f>
        <v>9780471682349</v>
      </c>
      <c r="C151">
        <v>117</v>
      </c>
      <c r="D151" t="str">
        <f t="shared" si="14"/>
        <v>USD</v>
      </c>
      <c r="E151" t="str">
        <f>"2008"</f>
        <v>2008</v>
      </c>
      <c r="F151" t="str">
        <f t="shared" ref="F151:F158" si="16">"Rice"</f>
        <v>Rice</v>
      </c>
      <c r="G151" t="str">
        <f t="shared" si="15"/>
        <v>safirketab</v>
      </c>
    </row>
    <row r="152" spans="1:7" x14ac:dyDescent="0.25">
      <c r="A152" t="str">
        <f>"Advances in Chemical Physics, V139"</f>
        <v>Advances in Chemical Physics, V139</v>
      </c>
      <c r="B152" t="str">
        <f>"9780470253892"</f>
        <v>9780470253892</v>
      </c>
      <c r="C152">
        <v>117</v>
      </c>
      <c r="D152" t="str">
        <f t="shared" si="14"/>
        <v>USD</v>
      </c>
      <c r="E152" t="str">
        <f>"2008"</f>
        <v>2008</v>
      </c>
      <c r="F152" t="str">
        <f t="shared" si="16"/>
        <v>Rice</v>
      </c>
      <c r="G152" t="str">
        <f t="shared" si="15"/>
        <v>safirketab</v>
      </c>
    </row>
    <row r="153" spans="1:7" x14ac:dyDescent="0.25">
      <c r="A153" t="str">
        <f>"Advances in Chemical Physics, V140"</f>
        <v>Advances in Chemical Physics, V140</v>
      </c>
      <c r="B153" t="str">
        <f>"9780470226889"</f>
        <v>9780470226889</v>
      </c>
      <c r="C153">
        <v>111</v>
      </c>
      <c r="D153" t="str">
        <f t="shared" si="14"/>
        <v>USD</v>
      </c>
      <c r="E153" t="str">
        <f>"2008"</f>
        <v>2008</v>
      </c>
      <c r="F153" t="str">
        <f t="shared" si="16"/>
        <v>Rice</v>
      </c>
      <c r="G153" t="str">
        <f t="shared" si="15"/>
        <v>safirketab</v>
      </c>
    </row>
    <row r="154" spans="1:7" x14ac:dyDescent="0.25">
      <c r="A154" t="str">
        <f>"Advances in Chemical Physics, V141"</f>
        <v>Advances in Chemical Physics, V141</v>
      </c>
      <c r="B154" t="str">
        <f>"9780470417133"</f>
        <v>9780470417133</v>
      </c>
      <c r="C154">
        <v>94</v>
      </c>
      <c r="D154" t="str">
        <f t="shared" si="14"/>
        <v>USD</v>
      </c>
      <c r="E154" t="str">
        <f>"2009"</f>
        <v>2009</v>
      </c>
      <c r="F154" t="str">
        <f t="shared" si="16"/>
        <v>Rice</v>
      </c>
      <c r="G154" t="str">
        <f t="shared" si="15"/>
        <v>safirketab</v>
      </c>
    </row>
    <row r="155" spans="1:7" x14ac:dyDescent="0.25">
      <c r="A155" t="str">
        <f>"Advances in Chemical Physics, V141"</f>
        <v>Advances in Chemical Physics, V141</v>
      </c>
      <c r="B155" t="str">
        <f>"9780470417133"</f>
        <v>9780470417133</v>
      </c>
      <c r="C155">
        <v>94</v>
      </c>
      <c r="D155" t="str">
        <f t="shared" si="14"/>
        <v>USD</v>
      </c>
      <c r="E155" t="str">
        <f>"2009"</f>
        <v>2009</v>
      </c>
      <c r="F155" t="str">
        <f t="shared" si="16"/>
        <v>Rice</v>
      </c>
      <c r="G155" t="str">
        <f>"avanddanesh"</f>
        <v>avanddanesh</v>
      </c>
    </row>
    <row r="156" spans="1:7" x14ac:dyDescent="0.25">
      <c r="A156" t="str">
        <f>"Advances in Chemical Physics, V142"</f>
        <v>Advances in Chemical Physics, V142</v>
      </c>
      <c r="B156" t="str">
        <f>"9780470464991"</f>
        <v>9780470464991</v>
      </c>
      <c r="C156">
        <v>98.8</v>
      </c>
      <c r="D156" t="str">
        <f t="shared" si="14"/>
        <v>USD</v>
      </c>
      <c r="E156" t="str">
        <f>"2009"</f>
        <v>2009</v>
      </c>
      <c r="F156" t="str">
        <f t="shared" si="16"/>
        <v>Rice</v>
      </c>
      <c r="G156" t="str">
        <f>"avanddanesh"</f>
        <v>avanddanesh</v>
      </c>
    </row>
    <row r="157" spans="1:7" x14ac:dyDescent="0.25">
      <c r="A157" t="str">
        <f>"Advances in Chemical Physics, V142"</f>
        <v>Advances in Chemical Physics, V142</v>
      </c>
      <c r="B157" t="str">
        <f>"9780470464991"</f>
        <v>9780470464991</v>
      </c>
      <c r="C157">
        <v>98.8</v>
      </c>
      <c r="D157" t="str">
        <f t="shared" si="14"/>
        <v>USD</v>
      </c>
      <c r="E157" t="str">
        <f>"2009"</f>
        <v>2009</v>
      </c>
      <c r="F157" t="str">
        <f t="shared" si="16"/>
        <v>Rice</v>
      </c>
      <c r="G157" t="str">
        <f>"safirketab"</f>
        <v>safirketab</v>
      </c>
    </row>
    <row r="158" spans="1:7" x14ac:dyDescent="0.25">
      <c r="A158" t="str">
        <f>"Advances in Chemical Physics, V143"</f>
        <v>Advances in Chemical Physics, V143</v>
      </c>
      <c r="B158" t="str">
        <f>"9780470500255"</f>
        <v>9780470500255</v>
      </c>
      <c r="C158">
        <v>98.8</v>
      </c>
      <c r="D158" t="str">
        <f t="shared" si="14"/>
        <v>USD</v>
      </c>
      <c r="E158" t="str">
        <f>"2009"</f>
        <v>2009</v>
      </c>
      <c r="F158" t="str">
        <f t="shared" si="16"/>
        <v>Rice</v>
      </c>
      <c r="G158" t="str">
        <f t="shared" ref="G158:G164" si="17">"avanddanesh"</f>
        <v>avanddanesh</v>
      </c>
    </row>
    <row r="159" spans="1:7" x14ac:dyDescent="0.25">
      <c r="A159" t="str">
        <f>"Advances in Chemical Physics, V145"</f>
        <v>Advances in Chemical Physics, V145</v>
      </c>
      <c r="B159" t="str">
        <f>"9780470643716"</f>
        <v>9780470643716</v>
      </c>
      <c r="C159">
        <v>89.6</v>
      </c>
      <c r="D159" t="str">
        <f t="shared" si="14"/>
        <v>USD</v>
      </c>
      <c r="E159" t="str">
        <f>"2011"</f>
        <v>2011</v>
      </c>
      <c r="F159" t="str">
        <f>"Komatsuzaki"</f>
        <v>Komatsuzaki</v>
      </c>
      <c r="G159" t="str">
        <f t="shared" si="17"/>
        <v>avanddanesh</v>
      </c>
    </row>
    <row r="160" spans="1:7" x14ac:dyDescent="0.25">
      <c r="A160" t="str">
        <f>"Advances in Chemical Physics, V146"</f>
        <v>Advances in Chemical Physics, V146</v>
      </c>
      <c r="B160" t="str">
        <f>"9781118057803"</f>
        <v>9781118057803</v>
      </c>
      <c r="C160">
        <v>134.4</v>
      </c>
      <c r="D160" t="str">
        <f t="shared" si="14"/>
        <v>USD</v>
      </c>
      <c r="E160" t="str">
        <f>"2012"</f>
        <v>2012</v>
      </c>
      <c r="F160" t="str">
        <f>"Komatsuzaki"</f>
        <v>Komatsuzaki</v>
      </c>
      <c r="G160" t="str">
        <f t="shared" si="17"/>
        <v>avanddanesh</v>
      </c>
    </row>
    <row r="161" spans="1:7" x14ac:dyDescent="0.25">
      <c r="A161" t="str">
        <f>"Advances in Chemical Physics, V147"</f>
        <v>Advances in Chemical Physics, V147</v>
      </c>
      <c r="B161" t="str">
        <f>"9781118122341"</f>
        <v>9781118122341</v>
      </c>
      <c r="C161">
        <v>134.4</v>
      </c>
      <c r="D161" t="str">
        <f t="shared" si="14"/>
        <v>USD</v>
      </c>
      <c r="E161" t="str">
        <f>"2012"</f>
        <v>2012</v>
      </c>
      <c r="F161" t="str">
        <f>"Rice"</f>
        <v>Rice</v>
      </c>
      <c r="G161" t="str">
        <f t="shared" si="17"/>
        <v>avanddanesh</v>
      </c>
    </row>
    <row r="162" spans="1:7" x14ac:dyDescent="0.25">
      <c r="A162" t="str">
        <f>"Advances in Chemical Physics, V148"</f>
        <v>Advances in Chemical Physics, V148</v>
      </c>
      <c r="B162" t="str">
        <f>"9781118122358"</f>
        <v>9781118122358</v>
      </c>
      <c r="C162">
        <v>134.4</v>
      </c>
      <c r="D162" t="str">
        <f t="shared" si="14"/>
        <v>USD</v>
      </c>
      <c r="E162" t="str">
        <f>"2012"</f>
        <v>2012</v>
      </c>
      <c r="F162" t="str">
        <f>"Rice"</f>
        <v>Rice</v>
      </c>
      <c r="G162" t="str">
        <f t="shared" si="17"/>
        <v>avanddanesh</v>
      </c>
    </row>
    <row r="163" spans="1:7" x14ac:dyDescent="0.25">
      <c r="A163" t="str">
        <f>"Advances in Chemical Physics, V156"</f>
        <v>Advances in Chemical Physics, V156</v>
      </c>
      <c r="B163" t="str">
        <f>"9781118949696"</f>
        <v>9781118949696</v>
      </c>
      <c r="C163">
        <v>160</v>
      </c>
      <c r="D163" t="str">
        <f t="shared" si="14"/>
        <v>USD</v>
      </c>
      <c r="E163" t="str">
        <f>"2015"</f>
        <v>2015</v>
      </c>
      <c r="F163" t="str">
        <f>"Rice"</f>
        <v>Rice</v>
      </c>
      <c r="G163" t="str">
        <f t="shared" si="17"/>
        <v>avanddanesh</v>
      </c>
    </row>
    <row r="164" spans="1:7" x14ac:dyDescent="0.25">
      <c r="A164" t="str">
        <f>"Advances in Chemical Physics, V162"</f>
        <v>Advances in Chemical Physics, V162</v>
      </c>
      <c r="B164" t="str">
        <f>"9781119324577"</f>
        <v>9781119324577</v>
      </c>
      <c r="C164">
        <v>265.5</v>
      </c>
      <c r="D164" t="str">
        <f t="shared" si="14"/>
        <v>USD</v>
      </c>
      <c r="E164" t="str">
        <f>"2018"</f>
        <v>2018</v>
      </c>
      <c r="F164" t="str">
        <f>"Rice"</f>
        <v>Rice</v>
      </c>
      <c r="G164" t="str">
        <f t="shared" si="17"/>
        <v>avanddanesh</v>
      </c>
    </row>
    <row r="165" spans="1:7" x14ac:dyDescent="0.25">
      <c r="A165" t="str">
        <f>"Advances in Clinical Chemistry, Volume78"</f>
        <v>Advances in Clinical Chemistry, Volume78</v>
      </c>
      <c r="B165" t="str">
        <f>"9780128119143"</f>
        <v>9780128119143</v>
      </c>
      <c r="C165">
        <v>184.5</v>
      </c>
      <c r="D165" t="str">
        <f t="shared" si="14"/>
        <v>USD</v>
      </c>
      <c r="E165" t="str">
        <f>"2017"</f>
        <v>2017</v>
      </c>
      <c r="F165" t="str">
        <f>"Makowski"</f>
        <v>Makowski</v>
      </c>
      <c r="G165" t="str">
        <f>"dehkadehketab"</f>
        <v>dehkadehketab</v>
      </c>
    </row>
    <row r="166" spans="1:7" x14ac:dyDescent="0.25">
      <c r="A166" t="str">
        <f>"Advances in Clinical Chemistry, Volume79"</f>
        <v>Advances in Clinical Chemistry, Volume79</v>
      </c>
      <c r="B166" t="str">
        <f>"9780128120767"</f>
        <v>9780128120767</v>
      </c>
      <c r="C166">
        <v>184.5</v>
      </c>
      <c r="D166" t="str">
        <f t="shared" si="14"/>
        <v>USD</v>
      </c>
      <c r="E166" t="str">
        <f>"2017"</f>
        <v>2017</v>
      </c>
      <c r="F166" t="str">
        <f>"Makowski"</f>
        <v>Makowski</v>
      </c>
      <c r="G166" t="str">
        <f>"dehkadehketab"</f>
        <v>dehkadehketab</v>
      </c>
    </row>
    <row r="167" spans="1:7" x14ac:dyDescent="0.25">
      <c r="A167" t="str">
        <f>"Advances in Clinical Chemistry, Volume80"</f>
        <v>Advances in Clinical Chemistry, Volume80</v>
      </c>
      <c r="B167" t="str">
        <f>"9780128120682"</f>
        <v>9780128120682</v>
      </c>
      <c r="C167">
        <v>184.5</v>
      </c>
      <c r="D167" t="str">
        <f t="shared" si="14"/>
        <v>USD</v>
      </c>
      <c r="E167" t="str">
        <f>"2017"</f>
        <v>2017</v>
      </c>
      <c r="F167" t="str">
        <f>"Makowski"</f>
        <v>Makowski</v>
      </c>
      <c r="G167" t="str">
        <f>"dehkadehketab"</f>
        <v>dehkadehketab</v>
      </c>
    </row>
    <row r="168" spans="1:7" x14ac:dyDescent="0.25">
      <c r="A168" t="str">
        <f>"ADVANCES IN DEEP FAT FRYING OF FOODS"</f>
        <v>ADVANCES IN DEEP FAT FRYING OF FOODS</v>
      </c>
      <c r="B168" t="str">
        <f>"9781420055580"</f>
        <v>9781420055580</v>
      </c>
      <c r="C168">
        <v>32.4</v>
      </c>
      <c r="D168" t="str">
        <f>"GBP"</f>
        <v>GBP</v>
      </c>
      <c r="E168" t="str">
        <f>"2009"</f>
        <v>2009</v>
      </c>
      <c r="F168" t="str">
        <f>"SERPIL SAHIN AND SE"</f>
        <v>SERPIL SAHIN AND SE</v>
      </c>
      <c r="G168" t="str">
        <f>"AsarBartar"</f>
        <v>AsarBartar</v>
      </c>
    </row>
    <row r="169" spans="1:7" x14ac:dyDescent="0.25">
      <c r="A169" t="str">
        <f>"Advances in Food Diagnostics,2e"</f>
        <v>Advances in Food Diagnostics,2e</v>
      </c>
      <c r="B169" t="str">
        <f>"9781119105886"</f>
        <v>9781119105886</v>
      </c>
      <c r="C169">
        <v>171</v>
      </c>
      <c r="D169" t="str">
        <f>"USD"</f>
        <v>USD</v>
      </c>
      <c r="E169" t="str">
        <f>"2017"</f>
        <v>2017</v>
      </c>
      <c r="F169" t="str">
        <f>"Toldra"</f>
        <v>Toldra</v>
      </c>
      <c r="G169" t="str">
        <f>"avanddanesh"</f>
        <v>avanddanesh</v>
      </c>
    </row>
    <row r="170" spans="1:7" x14ac:dyDescent="0.25">
      <c r="A170" t="str">
        <f>"Advances in Friction-Stir Welding and Processing"</f>
        <v>Advances in Friction-Stir Welding and Processing</v>
      </c>
      <c r="B170" t="str">
        <f>"9780081013687"</f>
        <v>9780081013687</v>
      </c>
      <c r="C170">
        <v>180</v>
      </c>
      <c r="D170" t="str">
        <f>"USD"</f>
        <v>USD</v>
      </c>
      <c r="E170" t="str">
        <f>"2017"</f>
        <v>2017</v>
      </c>
      <c r="F170" t="str">
        <f>"Besharati-Givi and A"</f>
        <v>Besharati-Givi and A</v>
      </c>
      <c r="G170" t="str">
        <f>"dehkadehketab"</f>
        <v>dehkadehketab</v>
      </c>
    </row>
    <row r="171" spans="1:7" x14ac:dyDescent="0.25">
      <c r="A171" t="str">
        <f>"ADVANCES IN FRIEDEL-CRAFTS ACYLATION REACTIONS : CATALYTIC AND GREEN PROCESSES"</f>
        <v>ADVANCES IN FRIEDEL-CRAFTS ACYLATION REACTIONS : CATALYTIC AND GREEN PROCESSES</v>
      </c>
      <c r="B171" t="str">
        <f>"9781420067927"</f>
        <v>9781420067927</v>
      </c>
      <c r="C171">
        <v>29.7</v>
      </c>
      <c r="D171" t="str">
        <f>"GBP"</f>
        <v>GBP</v>
      </c>
      <c r="E171" t="str">
        <f>"2010"</f>
        <v>2010</v>
      </c>
      <c r="F171" t="str">
        <f>"GIOVANNI SARTORI AN"</f>
        <v>GIOVANNI SARTORI AN</v>
      </c>
      <c r="G171" t="str">
        <f>"AsarBartar"</f>
        <v>AsarBartar</v>
      </c>
    </row>
    <row r="172" spans="1:7" x14ac:dyDescent="0.25">
      <c r="A172" t="str">
        <f>"Advances in Heterocyclic Chemistry, Volume122"</f>
        <v>Advances in Heterocyclic Chemistry, Volume122</v>
      </c>
      <c r="B172" t="str">
        <f>"9780128119730"</f>
        <v>9780128119730</v>
      </c>
      <c r="C172">
        <v>220.5</v>
      </c>
      <c r="D172" t="str">
        <f>"USD"</f>
        <v>USD</v>
      </c>
      <c r="E172" t="str">
        <f>"2017"</f>
        <v>2017</v>
      </c>
      <c r="F172" t="str">
        <f>"Scriven and Ramsden"</f>
        <v>Scriven and Ramsden</v>
      </c>
      <c r="G172" t="str">
        <f>"dehkadehketab"</f>
        <v>dehkadehketab</v>
      </c>
    </row>
    <row r="173" spans="1:7" x14ac:dyDescent="0.25">
      <c r="A173" t="str">
        <f>"Advances in Heterocyclic Chemistry, Volume123"</f>
        <v>Advances in Heterocyclic Chemistry, Volume123</v>
      </c>
      <c r="B173" t="str">
        <f>"9780128120903"</f>
        <v>9780128120903</v>
      </c>
      <c r="C173">
        <v>220.5</v>
      </c>
      <c r="D173" t="str">
        <f>"USD"</f>
        <v>USD</v>
      </c>
      <c r="E173" t="str">
        <f>"2017"</f>
        <v>2017</v>
      </c>
      <c r="F173" t="str">
        <f>"Scriven and Ramsden"</f>
        <v>Scriven and Ramsden</v>
      </c>
      <c r="G173" t="str">
        <f>"dehkadehketab"</f>
        <v>dehkadehketab</v>
      </c>
    </row>
    <row r="174" spans="1:7" x14ac:dyDescent="0.25">
      <c r="A174" t="str">
        <f>"Advances in Heterocyclic Chemistry, Volume124"</f>
        <v>Advances in Heterocyclic Chemistry, Volume124</v>
      </c>
      <c r="B174" t="str">
        <f>"9780128137475"</f>
        <v>9780128137475</v>
      </c>
      <c r="C174">
        <v>220.5</v>
      </c>
      <c r="D174" t="str">
        <f>"USD"</f>
        <v>USD</v>
      </c>
      <c r="E174" t="str">
        <f>"2018"</f>
        <v>2018</v>
      </c>
      <c r="F174" t="str">
        <f>"Scriven and Ramsden"</f>
        <v>Scriven and Ramsden</v>
      </c>
      <c r="G174" t="str">
        <f>"dehkadehketab"</f>
        <v>dehkadehketab</v>
      </c>
    </row>
    <row r="175" spans="1:7" x14ac:dyDescent="0.25">
      <c r="A175" t="str">
        <f>"Advances in Heterocyclic Chemistry, Volume125"</f>
        <v>Advances in Heterocyclic Chemistry, Volume125</v>
      </c>
      <c r="B175" t="str">
        <f>"9780128152072"</f>
        <v>9780128152072</v>
      </c>
      <c r="C175">
        <v>220.5</v>
      </c>
      <c r="D175" t="str">
        <f>"USD"</f>
        <v>USD</v>
      </c>
      <c r="E175" t="str">
        <f>"2018"</f>
        <v>2018</v>
      </c>
      <c r="F175" t="str">
        <f>"Scriven and Ramsden"</f>
        <v>Scriven and Ramsden</v>
      </c>
      <c r="G175" t="str">
        <f>"dehkadehketab"</f>
        <v>dehkadehketab</v>
      </c>
    </row>
    <row r="176" spans="1:7" x14ac:dyDescent="0.25">
      <c r="A176" t="str">
        <f>"Advances in Organic Crystal Chemistry: Comprehensive Reviews 2015"</f>
        <v>Advances in Organic Crystal Chemistry: Comprehensive Reviews 2015</v>
      </c>
      <c r="B176" t="str">
        <f>"9784431555544"</f>
        <v>9784431555544</v>
      </c>
      <c r="C176">
        <v>314.99</v>
      </c>
      <c r="D176" t="str">
        <f>"EUR"</f>
        <v>EUR</v>
      </c>
      <c r="E176" t="str">
        <f>"2015"</f>
        <v>2015</v>
      </c>
      <c r="F176" t="str">
        <f>"Tamura"</f>
        <v>Tamura</v>
      </c>
      <c r="G176" t="str">
        <f>"negarestanabi"</f>
        <v>negarestanabi</v>
      </c>
    </row>
    <row r="177" spans="1:7" x14ac:dyDescent="0.25">
      <c r="A177" t="str">
        <f>"Advances in Organometallic Chemistry, Volume67"</f>
        <v>Advances in Organometallic Chemistry, Volume67</v>
      </c>
      <c r="B177" t="str">
        <f>"9780128120811"</f>
        <v>9780128120811</v>
      </c>
      <c r="C177">
        <v>199.8</v>
      </c>
      <c r="D177" t="str">
        <f t="shared" ref="D177:D185" si="18">"USD"</f>
        <v>USD</v>
      </c>
      <c r="E177" t="str">
        <f>"2017"</f>
        <v>2017</v>
      </c>
      <c r="F177" t="str">
        <f>"PÃ©rez"</f>
        <v>PÃ©rez</v>
      </c>
      <c r="G177" t="str">
        <f>"dehkadehketab"</f>
        <v>dehkadehketab</v>
      </c>
    </row>
    <row r="178" spans="1:7" x14ac:dyDescent="0.25">
      <c r="A178" t="str">
        <f>"Advances in Quantum Chemistry: Lowdin Volume, Volume74"</f>
        <v>Advances in Quantum Chemistry: Lowdin Volume, Volume74</v>
      </c>
      <c r="B178" t="str">
        <f>"9780128099759"</f>
        <v>9780128099759</v>
      </c>
      <c r="C178">
        <v>228.6</v>
      </c>
      <c r="D178" t="str">
        <f t="shared" si="18"/>
        <v>USD</v>
      </c>
      <c r="E178" t="str">
        <f>"2017"</f>
        <v>2017</v>
      </c>
      <c r="F178" t="str">
        <f>"Sabin and Brandas"</f>
        <v>Sabin and Brandas</v>
      </c>
      <c r="G178" t="str">
        <f>"dehkadehketab"</f>
        <v>dehkadehketab</v>
      </c>
    </row>
    <row r="179" spans="1:7" x14ac:dyDescent="0.25">
      <c r="A179" t="str">
        <f>"Advances in Quantum Chemistry: Ratner Volume, Volume75"</f>
        <v>Advances in Quantum Chemistry: Ratner Volume, Volume75</v>
      </c>
      <c r="B179" t="str">
        <f>"9780128128831"</f>
        <v>9780128128831</v>
      </c>
      <c r="C179">
        <v>220.5</v>
      </c>
      <c r="D179" t="str">
        <f t="shared" si="18"/>
        <v>USD</v>
      </c>
      <c r="E179" t="str">
        <f>"2017"</f>
        <v>2017</v>
      </c>
      <c r="F179" t="str">
        <f>"Sabin and Brandas"</f>
        <v>Sabin and Brandas</v>
      </c>
      <c r="G179" t="str">
        <f>"dehkadehketab"</f>
        <v>dehkadehketab</v>
      </c>
    </row>
    <row r="180" spans="1:7" x14ac:dyDescent="0.25">
      <c r="A180" t="str">
        <f>"Advances in Solid Oxide Fuel Cells III"</f>
        <v>Advances in Solid Oxide Fuel Cells III</v>
      </c>
      <c r="B180" t="str">
        <f>"9780470196359"</f>
        <v>9780470196359</v>
      </c>
      <c r="C180">
        <v>59.97</v>
      </c>
      <c r="D180" t="str">
        <f t="shared" si="18"/>
        <v>USD</v>
      </c>
      <c r="E180" t="str">
        <f>"2008"</f>
        <v>2008</v>
      </c>
      <c r="F180" t="str">
        <f>"Bansal"</f>
        <v>Bansal</v>
      </c>
      <c r="G180" t="str">
        <f>"safirketab"</f>
        <v>safirketab</v>
      </c>
    </row>
    <row r="181" spans="1:7" x14ac:dyDescent="0.25">
      <c r="A181" t="str">
        <f>"Advances in Solid Oxide Fuel Cells IV"</f>
        <v>Advances in Solid Oxide Fuel Cells IV</v>
      </c>
      <c r="B181" t="str">
        <f>"9780470344965"</f>
        <v>9780470344965</v>
      </c>
      <c r="C181">
        <v>59.96</v>
      </c>
      <c r="D181" t="str">
        <f t="shared" si="18"/>
        <v>USD</v>
      </c>
      <c r="E181" t="str">
        <f>"2009"</f>
        <v>2009</v>
      </c>
      <c r="F181" t="str">
        <f>"Singh"</f>
        <v>Singh</v>
      </c>
      <c r="G181" t="str">
        <f>"safirketab"</f>
        <v>safirketab</v>
      </c>
    </row>
    <row r="182" spans="1:7" x14ac:dyDescent="0.25">
      <c r="A182" t="str">
        <f>"Advances in the Use of Liquid Chromatography Mass Spectrometry (LC-MS): Instrumentation Developments and Application, Volume79"</f>
        <v>Advances in the Use of Liquid Chromatography Mass Spectrometry (LC-MS): Instrumentation Developments and Application, Volume79</v>
      </c>
      <c r="B182" t="str">
        <f>"9780444639103"</f>
        <v>9780444639103</v>
      </c>
      <c r="C182">
        <v>229.5</v>
      </c>
      <c r="D182" t="str">
        <f t="shared" si="18"/>
        <v>USD</v>
      </c>
      <c r="E182" t="str">
        <f>"2018"</f>
        <v>2018</v>
      </c>
      <c r="F182" t="str">
        <f>"Cappiello and Palma"</f>
        <v>Cappiello and Palma</v>
      </c>
      <c r="G182" t="str">
        <f>"dehkadehketab"</f>
        <v>dehkadehketab</v>
      </c>
    </row>
    <row r="183" spans="1:7" x14ac:dyDescent="0.25">
      <c r="A183" t="str">
        <f>"Aggregation-Induced Emission: Applications"</f>
        <v>Aggregation-Induced Emission: Applications</v>
      </c>
      <c r="B183" t="str">
        <f>"9781118701768"</f>
        <v>9781118701768</v>
      </c>
      <c r="C183">
        <v>87.8</v>
      </c>
      <c r="D183" t="str">
        <f t="shared" si="18"/>
        <v>USD</v>
      </c>
      <c r="E183" t="str">
        <f>"2013"</f>
        <v>2013</v>
      </c>
      <c r="F183" t="str">
        <f>"Tang"</f>
        <v>Tang</v>
      </c>
      <c r="G183" t="str">
        <f>"avanddanesh"</f>
        <v>avanddanesh</v>
      </c>
    </row>
    <row r="184" spans="1:7" x14ac:dyDescent="0.25">
      <c r="A184" t="str">
        <f>"Aggregation-Induced Emission: Fundamentals"</f>
        <v>Aggregation-Induced Emission: Fundamentals</v>
      </c>
      <c r="B184" t="str">
        <f>"9781118394304"</f>
        <v>9781118394304</v>
      </c>
      <c r="C184">
        <v>113.8</v>
      </c>
      <c r="D184" t="str">
        <f t="shared" si="18"/>
        <v>USD</v>
      </c>
      <c r="E184" t="str">
        <f>"2013"</f>
        <v>2013</v>
      </c>
      <c r="F184" t="str">
        <f>"Qin"</f>
        <v>Qin</v>
      </c>
      <c r="G184" t="str">
        <f>"avanddanesh"</f>
        <v>avanddanesh</v>
      </c>
    </row>
    <row r="185" spans="1:7" x14ac:dyDescent="0.25">
      <c r="A185" t="str">
        <f>"Agricultural and Food Electroanalysis"</f>
        <v>Agricultural and Food Electroanalysis</v>
      </c>
      <c r="B185" t="str">
        <f>"9781119961864"</f>
        <v>9781119961864</v>
      </c>
      <c r="C185">
        <v>112</v>
      </c>
      <c r="D185" t="str">
        <f t="shared" si="18"/>
        <v>USD</v>
      </c>
      <c r="E185" t="str">
        <f>"2015"</f>
        <v>2015</v>
      </c>
      <c r="F185" t="str">
        <f>"Escarpa"</f>
        <v>Escarpa</v>
      </c>
      <c r="G185" t="str">
        <f>"avanddanesh"</f>
        <v>avanddanesh</v>
      </c>
    </row>
    <row r="186" spans="1:7" x14ac:dyDescent="0.25">
      <c r="A186" t="str">
        <f>"Agricultural Chemicals and the Environment: Issues and Potential Solutions"</f>
        <v>Agricultural Chemicals and the Environment: Issues and Potential Solutions</v>
      </c>
      <c r="B186" t="str">
        <f>"9781782626909"</f>
        <v>9781782626909</v>
      </c>
      <c r="C186">
        <v>43.6</v>
      </c>
      <c r="D186" t="str">
        <f>"GBP"</f>
        <v>GBP</v>
      </c>
      <c r="E186" t="str">
        <f>"2016"</f>
        <v>2016</v>
      </c>
      <c r="F186" t="str">
        <f>"R. E. Hester andÂ R. "</f>
        <v xml:space="preserve">R. E. Hester andÂ R. </v>
      </c>
      <c r="G186" t="str">
        <f>"arzinbooks"</f>
        <v>arzinbooks</v>
      </c>
    </row>
    <row r="187" spans="1:7" x14ac:dyDescent="0.25">
      <c r="A187" t="str">
        <f>"Airborne Particulate Matter: Sources, Atmospheric Processes and Health"</f>
        <v>Airborne Particulate Matter: Sources, Atmospheric Processes and Health</v>
      </c>
      <c r="B187" t="str">
        <f>"9781782624912"</f>
        <v>9781782624912</v>
      </c>
      <c r="C187">
        <v>43.6</v>
      </c>
      <c r="D187" t="str">
        <f>"GBP"</f>
        <v>GBP</v>
      </c>
      <c r="E187" t="str">
        <f>"2016"</f>
        <v>2016</v>
      </c>
      <c r="F187" t="str">
        <f>"R. M. Harrison andÂ R"</f>
        <v>R. M. Harrison andÂ R</v>
      </c>
      <c r="G187" t="str">
        <f>"arzinbooks"</f>
        <v>arzinbooks</v>
      </c>
    </row>
    <row r="188" spans="1:7" x14ac:dyDescent="0.25">
      <c r="A188" t="str">
        <f>"Algal Green Chemistry, Recent Progress in Biotechnology"</f>
        <v>Algal Green Chemistry, Recent Progress in Biotechnology</v>
      </c>
      <c r="B188" t="str">
        <f>"9780444637840"</f>
        <v>9780444637840</v>
      </c>
      <c r="C188">
        <v>189</v>
      </c>
      <c r="D188" t="str">
        <f>"USD"</f>
        <v>USD</v>
      </c>
      <c r="E188" t="str">
        <f>"2017"</f>
        <v>2017</v>
      </c>
      <c r="F188" t="str">
        <f>"Rastogi et al"</f>
        <v>Rastogi et al</v>
      </c>
      <c r="G188" t="str">
        <f>"dehkadehketab"</f>
        <v>dehkadehketab</v>
      </c>
    </row>
    <row r="189" spans="1:7" x14ac:dyDescent="0.25">
      <c r="A189" t="str">
        <f>"ALGEBRA OF ORGANIC SYNTHESIS, THE"</f>
        <v>ALGEBRA OF ORGANIC SYNTHESIS, THE</v>
      </c>
      <c r="B189" t="str">
        <f>"9781420093285"</f>
        <v>9781420093285</v>
      </c>
      <c r="C189">
        <v>92.4</v>
      </c>
      <c r="D189" t="str">
        <f>"GBP"</f>
        <v>GBP</v>
      </c>
      <c r="E189" t="str">
        <f>"2012"</f>
        <v>2012</v>
      </c>
      <c r="F189" t="str">
        <f>"ANDRAOS, JOHN"</f>
        <v>ANDRAOS, JOHN</v>
      </c>
      <c r="G189" t="str">
        <f>"AsarBartar"</f>
        <v>AsarBartar</v>
      </c>
    </row>
    <row r="190" spans="1:7" x14ac:dyDescent="0.25">
      <c r="A190" t="str">
        <f>"ALICE'S ADVENTURES IN WATER-LAND"</f>
        <v>ALICE'S ADVENTURES IN WATER-LAND</v>
      </c>
      <c r="B190" t="str">
        <f>"9789814338967"</f>
        <v>9789814338967</v>
      </c>
      <c r="C190">
        <v>4.8</v>
      </c>
      <c r="D190" t="str">
        <f>"GBP"</f>
        <v>GBP</v>
      </c>
      <c r="E190" t="str">
        <f>"2011"</f>
        <v>2011</v>
      </c>
      <c r="F190" t="str">
        <f>"BEN-NAIM ARIEH &amp; BE"</f>
        <v>BEN-NAIM ARIEH &amp; BE</v>
      </c>
      <c r="G190" t="str">
        <f>"AsarBartar"</f>
        <v>AsarBartar</v>
      </c>
    </row>
    <row r="191" spans="1:7" x14ac:dyDescent="0.25">
      <c r="A191" t="str">
        <f>"Alive and Well at the End of the Day: The Supervis or?s Guide to Managing Safety in Operations"</f>
        <v>Alive and Well at the End of the Day: The Supervis or?s Guide to Managing Safety in Operations</v>
      </c>
      <c r="B191" t="str">
        <f>"9780470467077"</f>
        <v>9780470467077</v>
      </c>
      <c r="C191">
        <v>52.46</v>
      </c>
      <c r="D191" t="str">
        <f>"USD"</f>
        <v>USD</v>
      </c>
      <c r="E191" t="str">
        <f>"2010"</f>
        <v>2010</v>
      </c>
      <c r="F191" t="str">
        <f>"Balmert"</f>
        <v>Balmert</v>
      </c>
      <c r="G191" t="str">
        <f>"safirketab"</f>
        <v>safirketab</v>
      </c>
    </row>
    <row r="192" spans="1:7" x14ac:dyDescent="0.25">
      <c r="A192" t="str">
        <f>"Alkaloids, A Treasury of Poisons and Medicines"</f>
        <v>Alkaloids, A Treasury of Poisons and Medicines</v>
      </c>
      <c r="B192" t="str">
        <f>"9780128101742"</f>
        <v>9780128101742</v>
      </c>
      <c r="C192">
        <v>180</v>
      </c>
      <c r="D192" t="str">
        <f>"USD"</f>
        <v>USD</v>
      </c>
      <c r="E192" t="str">
        <f>"2017"</f>
        <v>2017</v>
      </c>
      <c r="F192" t="str">
        <f>"Funayama and Cordell"</f>
        <v>Funayama and Cordell</v>
      </c>
      <c r="G192" t="str">
        <f>"dehkadehketab"</f>
        <v>dehkadehketab</v>
      </c>
    </row>
    <row r="193" spans="1:7" x14ac:dyDescent="0.25">
      <c r="A193" t="str">
        <f>"ALLGEMEINE UND ANORGANISCHE CHEMIE"</f>
        <v>ALLGEMEINE UND ANORGANISCHE CHEMIE</v>
      </c>
      <c r="B193" t="str">
        <f>"9783110227819"</f>
        <v>9783110227819</v>
      </c>
      <c r="C193">
        <v>11.98</v>
      </c>
      <c r="D193" t="str">
        <f>"EUR"</f>
        <v>EUR</v>
      </c>
      <c r="E193" t="str">
        <f>"2010"</f>
        <v>2010</v>
      </c>
      <c r="F193" t="str">
        <f>"RIEDEL, ERWIN"</f>
        <v>RIEDEL, ERWIN</v>
      </c>
      <c r="G193" t="str">
        <f>"AsarBartar"</f>
        <v>AsarBartar</v>
      </c>
    </row>
    <row r="194" spans="1:7" x14ac:dyDescent="0.25">
      <c r="A194" t="str">
        <f>"ALTERNATIVE SWEETENERS, 4TH EDITION"</f>
        <v>ALTERNATIVE SWEETENERS, 4TH EDITION</v>
      </c>
      <c r="B194" t="str">
        <f>"9781439846148"</f>
        <v>9781439846148</v>
      </c>
      <c r="C194">
        <v>92.4</v>
      </c>
      <c r="D194" t="str">
        <f>"GBP"</f>
        <v>GBP</v>
      </c>
      <c r="E194" t="str">
        <f>"2012"</f>
        <v>2012</v>
      </c>
      <c r="F194" t="str">
        <f>"O'BRIEN-NABORS"</f>
        <v>O'BRIEN-NABORS</v>
      </c>
      <c r="G194" t="str">
        <f>"AsarBartar"</f>
        <v>AsarBartar</v>
      </c>
    </row>
    <row r="195" spans="1:7" x14ac:dyDescent="0.25">
      <c r="A195" t="str">
        <f>"America Invents Act Primer"</f>
        <v>America Invents Act Primer</v>
      </c>
      <c r="B195" t="str">
        <f>"9780128120927"</f>
        <v>9780128120927</v>
      </c>
      <c r="C195">
        <v>54</v>
      </c>
      <c r="D195" t="str">
        <f t="shared" ref="D195:D200" si="19">"USD"</f>
        <v>USD</v>
      </c>
      <c r="E195" t="str">
        <f>"2017"</f>
        <v>2017</v>
      </c>
      <c r="F195" t="str">
        <f>"Hasford"</f>
        <v>Hasford</v>
      </c>
      <c r="G195" t="str">
        <f>"dehkadehketab"</f>
        <v>dehkadehketab</v>
      </c>
    </row>
    <row r="196" spans="1:7" x14ac:dyDescent="0.25">
      <c r="A196" t="str">
        <f>"Amino Acids, Peptides and Proteins in Organic Chemistry: V3: Building Blocks, Catalysis and Coupling Chemistry"</f>
        <v>Amino Acids, Peptides and Proteins in Organic Chemistry: V3: Building Blocks, Catalysis and Coupling Chemistry</v>
      </c>
      <c r="B196" t="str">
        <f>"9783527321025"</f>
        <v>9783527321025</v>
      </c>
      <c r="C196">
        <v>91.6</v>
      </c>
      <c r="D196" t="str">
        <f t="shared" si="19"/>
        <v>USD</v>
      </c>
      <c r="E196" t="str">
        <f>"2010"</f>
        <v>2010</v>
      </c>
      <c r="F196" t="str">
        <f>"Hughes"</f>
        <v>Hughes</v>
      </c>
      <c r="G196" t="str">
        <f>"avanddanesh"</f>
        <v>avanddanesh</v>
      </c>
    </row>
    <row r="197" spans="1:7" x14ac:dyDescent="0.25">
      <c r="A197" t="str">
        <f>"Amino Acids, Peptides and Proteins in Organic Chemistry: V4: Protection Reactions, Medicinal Chemistry, Combinatorial Synthesis"</f>
        <v>Amino Acids, Peptides and Proteins in Organic Chemistry: V4: Protection Reactions, Medicinal Chemistry, Combinatorial Synthesis</v>
      </c>
      <c r="B197" t="str">
        <f>"9783527321032"</f>
        <v>9783527321032</v>
      </c>
      <c r="C197">
        <v>91.6</v>
      </c>
      <c r="D197" t="str">
        <f t="shared" si="19"/>
        <v>USD</v>
      </c>
      <c r="E197" t="str">
        <f>"2011"</f>
        <v>2011</v>
      </c>
      <c r="F197" t="str">
        <f>"Hughes"</f>
        <v>Hughes</v>
      </c>
      <c r="G197" t="str">
        <f>"avanddanesh"</f>
        <v>avanddanesh</v>
      </c>
    </row>
    <row r="198" spans="1:7" x14ac:dyDescent="0.25">
      <c r="A198" t="str">
        <f>"Amino Acids, Peptides and Proteins in Organic Chemistry: V5: Analysis and Function of Amino Acids and Peptides"</f>
        <v>Amino Acids, Peptides and Proteins in Organic Chemistry: V5: Analysis and Function of Amino Acids and Peptides</v>
      </c>
      <c r="B198" t="str">
        <f>"9783527321049"</f>
        <v>9783527321049</v>
      </c>
      <c r="C198">
        <v>91.6</v>
      </c>
      <c r="D198" t="str">
        <f t="shared" si="19"/>
        <v>USD</v>
      </c>
      <c r="E198" t="str">
        <f>"2011"</f>
        <v>2011</v>
      </c>
      <c r="F198" t="str">
        <f>"Hughes"</f>
        <v>Hughes</v>
      </c>
      <c r="G198" t="str">
        <f>"avanddanesh"</f>
        <v>avanddanesh</v>
      </c>
    </row>
    <row r="199" spans="1:7" x14ac:dyDescent="0.25">
      <c r="A199" t="str">
        <f>"Amino Acids, Peptides and Proteins in Organic Chemistry:V 1"</f>
        <v>Amino Acids, Peptides and Proteins in Organic Chemistry:V 1</v>
      </c>
      <c r="B199" t="str">
        <f>"9783527320967"</f>
        <v>9783527320967</v>
      </c>
      <c r="C199">
        <v>177</v>
      </c>
      <c r="D199" t="str">
        <f t="shared" si="19"/>
        <v>USD</v>
      </c>
      <c r="E199" t="str">
        <f>"2009"</f>
        <v>2009</v>
      </c>
      <c r="F199" t="str">
        <f>"Hughes"</f>
        <v>Hughes</v>
      </c>
      <c r="G199" t="str">
        <f>"safirketab"</f>
        <v>safirketab</v>
      </c>
    </row>
    <row r="200" spans="1:7" x14ac:dyDescent="0.25">
      <c r="A200" t="str">
        <f>"Amino Group Chemistry: From Synthesis to the Life Sciences"</f>
        <v>Amino Group Chemistry: From Synthesis to the Life Sciences</v>
      </c>
      <c r="B200" t="str">
        <f>"9783527317417"</f>
        <v>9783527317417</v>
      </c>
      <c r="C200">
        <v>126</v>
      </c>
      <c r="D200" t="str">
        <f t="shared" si="19"/>
        <v>USD</v>
      </c>
      <c r="E200" t="str">
        <f>"2008"</f>
        <v>2008</v>
      </c>
      <c r="F200" t="str">
        <f>"Ricci"</f>
        <v>Ricci</v>
      </c>
      <c r="G200" t="str">
        <f>"safirketab"</f>
        <v>safirketab</v>
      </c>
    </row>
    <row r="201" spans="1:7" x14ac:dyDescent="0.25">
      <c r="A201" t="str">
        <f>"Amorphous Drugs: Benefits and Challenges"</f>
        <v>Amorphous Drugs: Benefits and Challenges</v>
      </c>
      <c r="B201" t="str">
        <f>"9783319720012"</f>
        <v>9783319720012</v>
      </c>
      <c r="C201">
        <v>103.49</v>
      </c>
      <c r="D201" t="str">
        <f>"EUR"</f>
        <v>EUR</v>
      </c>
      <c r="E201" t="str">
        <f>"2018"</f>
        <v>2018</v>
      </c>
      <c r="F201" t="str">
        <f>"Rams-Baron"</f>
        <v>Rams-Baron</v>
      </c>
      <c r="G201" t="str">
        <f>"negarestanabi"</f>
        <v>negarestanabi</v>
      </c>
    </row>
    <row r="202" spans="1:7" x14ac:dyDescent="0.25">
      <c r="A202" t="str">
        <f>"Amyloid Fibrils and Prefibrillar Aggregates"</f>
        <v>Amyloid Fibrils and Prefibrillar Aggregates</v>
      </c>
      <c r="B202" t="str">
        <f>"9783527332007"</f>
        <v>9783527332007</v>
      </c>
      <c r="C202">
        <v>127.4</v>
      </c>
      <c r="D202" t="str">
        <f>"USD"</f>
        <v>USD</v>
      </c>
      <c r="E202" t="str">
        <f>"2013"</f>
        <v>2013</v>
      </c>
      <c r="F202" t="str">
        <f>"Otzen"</f>
        <v>Otzen</v>
      </c>
      <c r="G202" t="str">
        <f>"avanddanesh"</f>
        <v>avanddanesh</v>
      </c>
    </row>
    <row r="203" spans="1:7" x14ac:dyDescent="0.25">
      <c r="A203" t="str">
        <f>"Anaerobes in Biotechnology"</f>
        <v>Anaerobes in Biotechnology</v>
      </c>
      <c r="B203" t="str">
        <f>"9783319456492"</f>
        <v>9783319456492</v>
      </c>
      <c r="C203">
        <v>251.99</v>
      </c>
      <c r="D203" t="str">
        <f>"EUR"</f>
        <v>EUR</v>
      </c>
      <c r="E203" t="str">
        <f>"2016"</f>
        <v>2016</v>
      </c>
      <c r="F203" t="str">
        <f>"Hatti-Kaul"</f>
        <v>Hatti-Kaul</v>
      </c>
      <c r="G203" t="str">
        <f>"negarestanabi"</f>
        <v>negarestanabi</v>
      </c>
    </row>
    <row r="204" spans="1:7" x14ac:dyDescent="0.25">
      <c r="A204" t="str">
        <f>"Analysis of Chemical Warfare Degradation Products"</f>
        <v>Analysis of Chemical Warfare Degradation Products</v>
      </c>
      <c r="B204" t="str">
        <f>"9780470745878"</f>
        <v>9780470745878</v>
      </c>
      <c r="C204">
        <v>56.7</v>
      </c>
      <c r="D204" t="str">
        <f>"USD"</f>
        <v>USD</v>
      </c>
      <c r="E204" t="str">
        <f>"2011"</f>
        <v>2011</v>
      </c>
      <c r="F204" t="str">
        <f>"Kroening"</f>
        <v>Kroening</v>
      </c>
      <c r="G204" t="str">
        <f>"safirketab"</f>
        <v>safirketab</v>
      </c>
    </row>
    <row r="205" spans="1:7" x14ac:dyDescent="0.25">
      <c r="A205" t="str">
        <f>"Analysis of Food Toxins and Toxicants, 2V Set"</f>
        <v>Analysis of Food Toxins and Toxicants, 2V Set</v>
      </c>
      <c r="B205" t="str">
        <f>"9781118992722"</f>
        <v>9781118992722</v>
      </c>
      <c r="C205">
        <v>247.5</v>
      </c>
      <c r="D205" t="str">
        <f>"USD"</f>
        <v>USD</v>
      </c>
      <c r="E205" t="str">
        <f>"2017"</f>
        <v>2017</v>
      </c>
      <c r="F205" t="str">
        <f>"Wong"</f>
        <v>Wong</v>
      </c>
      <c r="G205" t="str">
        <f>"avanddanesh"</f>
        <v>avanddanesh</v>
      </c>
    </row>
    <row r="206" spans="1:7" x14ac:dyDescent="0.25">
      <c r="A206" t="str">
        <f>"Analysis of Protein Post-Translational Modifications by Mass Spectrometry"</f>
        <v>Analysis of Protein Post-Translational Modifications by Mass Spectrometry</v>
      </c>
      <c r="B206" t="str">
        <f>"9781119045854"</f>
        <v>9781119045854</v>
      </c>
      <c r="C206">
        <v>110.5</v>
      </c>
      <c r="D206" t="str">
        <f>"USD"</f>
        <v>USD</v>
      </c>
      <c r="E206" t="str">
        <f>"2016"</f>
        <v>2016</v>
      </c>
      <c r="F206" t="str">
        <f>"Griffiths"</f>
        <v>Griffiths</v>
      </c>
      <c r="G206" t="str">
        <f>"avanddanesh"</f>
        <v>avanddanesh</v>
      </c>
    </row>
    <row r="207" spans="1:7" x14ac:dyDescent="0.25">
      <c r="A207" t="str">
        <f>"Analytical Characterization Methods for Crude Oil and Related Products"</f>
        <v>Analytical Characterization Methods for Crude Oil and Related Products</v>
      </c>
      <c r="B207" t="str">
        <f>"9781119286318"</f>
        <v>9781119286318</v>
      </c>
      <c r="C207">
        <v>135</v>
      </c>
      <c r="D207" t="str">
        <f>"USD"</f>
        <v>USD</v>
      </c>
      <c r="E207" t="str">
        <f>"2017"</f>
        <v>2017</v>
      </c>
      <c r="F207" t="str">
        <f>"Shukla"</f>
        <v>Shukla</v>
      </c>
      <c r="G207" t="str">
        <f>"avanddanesh"</f>
        <v>avanddanesh</v>
      </c>
    </row>
    <row r="208" spans="1:7" x14ac:dyDescent="0.25">
      <c r="A208" t="str">
        <f>"Analytical Characterization of Biotherapeutics"</f>
        <v>Analytical Characterization of Biotherapeutics</v>
      </c>
      <c r="B208" t="str">
        <f>"9781119053101"</f>
        <v>9781119053101</v>
      </c>
      <c r="C208">
        <v>175.5</v>
      </c>
      <c r="D208" t="str">
        <f>"USD"</f>
        <v>USD</v>
      </c>
      <c r="E208" t="str">
        <f>"2017"</f>
        <v>2017</v>
      </c>
      <c r="F208" t="str">
        <f>"Lill"</f>
        <v>Lill</v>
      </c>
      <c r="G208" t="str">
        <f>"avanddanesh"</f>
        <v>avanddanesh</v>
      </c>
    </row>
    <row r="209" spans="1:7" x14ac:dyDescent="0.25">
      <c r="A209" t="str">
        <f>"Analytical Chemistry for Cultural Heritage"</f>
        <v>Analytical Chemistry for Cultural Heritage</v>
      </c>
      <c r="B209" t="str">
        <f>"9783319528021"</f>
        <v>9783319528021</v>
      </c>
      <c r="C209">
        <v>269.99</v>
      </c>
      <c r="D209" t="str">
        <f>"EUR"</f>
        <v>EUR</v>
      </c>
      <c r="E209" t="str">
        <f>"2017"</f>
        <v>2017</v>
      </c>
      <c r="F209" t="str">
        <f>"Mazzeo"</f>
        <v>Mazzeo</v>
      </c>
      <c r="G209" t="str">
        <f>"negarestanabi"</f>
        <v>negarestanabi</v>
      </c>
    </row>
    <row r="210" spans="1:7" x14ac:dyDescent="0.25">
      <c r="A210" t="str">
        <f>"Analytical Chemistry, 2nd ed.    "</f>
        <v xml:space="preserve">Analytical Chemistry, 2nd ed.    </v>
      </c>
      <c r="B210" t="str">
        <f>"9788120353008"</f>
        <v>9788120353008</v>
      </c>
      <c r="C210">
        <v>13.97</v>
      </c>
      <c r="D210" t="str">
        <f>"USD"</f>
        <v>USD</v>
      </c>
      <c r="E210" t="str">
        <f>"2018"</f>
        <v>2018</v>
      </c>
      <c r="F210" t="str">
        <f>"Dash"</f>
        <v>Dash</v>
      </c>
      <c r="G210" t="str">
        <f>"negarestanabi"</f>
        <v>negarestanabi</v>
      </c>
    </row>
    <row r="211" spans="1:7" x14ac:dyDescent="0.25">
      <c r="A211" t="str">
        <f>"Analytical Methods in Supramolecular Chemistry,2V Set,2e"</f>
        <v>Analytical Methods in Supramolecular Chemistry,2V Set,2e</v>
      </c>
      <c r="B211" t="str">
        <f>"9783527329823"</f>
        <v>9783527329823</v>
      </c>
      <c r="C211">
        <v>217.2</v>
      </c>
      <c r="D211" t="str">
        <f>"USD"</f>
        <v>USD</v>
      </c>
      <c r="E211" t="str">
        <f>"2012"</f>
        <v>2012</v>
      </c>
      <c r="F211" t="str">
        <f>"Schalley"</f>
        <v>Schalley</v>
      </c>
      <c r="G211" t="str">
        <f>"avanddanesh"</f>
        <v>avanddanesh</v>
      </c>
    </row>
    <row r="212" spans="1:7" x14ac:dyDescent="0.25">
      <c r="A212" t="str">
        <f>"Analytical Modeling of Solute Transport in Groundwater: Using Models to Understand the Effect of Natural Processes on Contaminant Fate and Transport"</f>
        <v>Analytical Modeling of Solute Transport in Groundwater: Using Models to Understand the Effect of Natural Processes on Contaminant Fate and Transport</v>
      </c>
      <c r="B212" t="str">
        <f>"9780470242346"</f>
        <v>9780470242346</v>
      </c>
      <c r="C212">
        <v>90</v>
      </c>
      <c r="D212" t="str">
        <f>"USD"</f>
        <v>USD</v>
      </c>
      <c r="E212" t="str">
        <f>"2017"</f>
        <v>2017</v>
      </c>
      <c r="F212" t="str">
        <f>"Goltz"</f>
        <v>Goltz</v>
      </c>
      <c r="G212" t="str">
        <f>"avanddanesh"</f>
        <v>avanddanesh</v>
      </c>
    </row>
    <row r="213" spans="1:7" x14ac:dyDescent="0.25">
      <c r="A213" t="str">
        <f>"Analytical Modelling of Fuel Cells"</f>
        <v>Analytical Modelling of Fuel Cells</v>
      </c>
      <c r="B213" t="str">
        <f>"9780444638199"</f>
        <v>9780444638199</v>
      </c>
      <c r="C213">
        <v>171</v>
      </c>
      <c r="D213" t="str">
        <f>"USD"</f>
        <v>USD</v>
      </c>
      <c r="E213" t="str">
        <f>"2017"</f>
        <v>2017</v>
      </c>
      <c r="F213" t="str">
        <f>"Kulikovsky"</f>
        <v>Kulikovsky</v>
      </c>
      <c r="G213" t="str">
        <f>"dehkadehketab"</f>
        <v>dehkadehketab</v>
      </c>
    </row>
    <row r="214" spans="1:7" x14ac:dyDescent="0.25">
      <c r="A214" t="str">
        <f>"Analytical Separation Science, 5V Set"</f>
        <v>Analytical Separation Science, 5V Set</v>
      </c>
      <c r="B214" t="str">
        <f>"9783527333745"</f>
        <v>9783527333745</v>
      </c>
      <c r="C214">
        <v>1028.5</v>
      </c>
      <c r="D214" t="str">
        <f>"USD"</f>
        <v>USD</v>
      </c>
      <c r="E214" t="str">
        <f>"2016"</f>
        <v>2016</v>
      </c>
      <c r="F214" t="str">
        <f>"Anderson"</f>
        <v>Anderson</v>
      </c>
      <c r="G214" t="str">
        <f>"avanddanesh"</f>
        <v>avanddanesh</v>
      </c>
    </row>
    <row r="215" spans="1:7" x14ac:dyDescent="0.25">
      <c r="A215" t="str">
        <f>"Analytik "</f>
        <v xml:space="preserve">Analytik </v>
      </c>
      <c r="B215" t="str">
        <f>"9783110414950"</f>
        <v>9783110414950</v>
      </c>
      <c r="C215">
        <v>34</v>
      </c>
      <c r="D215" t="str">
        <f>"EUR"</f>
        <v>EUR</v>
      </c>
      <c r="E215" t="str">
        <f>"2016"</f>
        <v>2016</v>
      </c>
      <c r="F215" t="str">
        <f>"Alfred Ruland"</f>
        <v>Alfred Ruland</v>
      </c>
      <c r="G215" t="str">
        <f>"AsarBartar"</f>
        <v>AsarBartar</v>
      </c>
    </row>
    <row r="216" spans="1:7" x14ac:dyDescent="0.25">
      <c r="A216" t="str">
        <f>"Animal Genetics for Chemists"</f>
        <v>Animal Genetics for Chemists</v>
      </c>
      <c r="B216" t="str">
        <f>"9781782627609"</f>
        <v>9781782627609</v>
      </c>
      <c r="C216">
        <v>29.8</v>
      </c>
      <c r="D216" t="str">
        <f>"GBP"</f>
        <v>GBP</v>
      </c>
      <c r="E216" t="str">
        <f>"2017"</f>
        <v>2017</v>
      </c>
      <c r="F216" t="str">
        <f>"Ralph G. Wilkins"</f>
        <v>Ralph G. Wilkins</v>
      </c>
      <c r="G216" t="str">
        <f>"arzinbooks"</f>
        <v>arzinbooks</v>
      </c>
    </row>
    <row r="217" spans="1:7" x14ac:dyDescent="0.25">
      <c r="A217" t="str">
        <f>"Anion Coordination Chemistry"</f>
        <v>Anion Coordination Chemistry</v>
      </c>
      <c r="B217" t="str">
        <f>"9783527323708"</f>
        <v>9783527323708</v>
      </c>
      <c r="C217">
        <v>91.6</v>
      </c>
      <c r="D217" t="str">
        <f>"USD"</f>
        <v>USD</v>
      </c>
      <c r="E217" t="str">
        <f>"2011"</f>
        <v>2011</v>
      </c>
      <c r="F217" t="str">
        <f>"Bowman-James"</f>
        <v>Bowman-James</v>
      </c>
      <c r="G217" t="str">
        <f>"avanddanesh"</f>
        <v>avanddanesh</v>
      </c>
    </row>
    <row r="218" spans="1:7" x14ac:dyDescent="0.25">
      <c r="A218" t="str">
        <f>"Annual Reports on NMR Spectroscopy, Volume90"</f>
        <v>Annual Reports on NMR Spectroscopy, Volume90</v>
      </c>
      <c r="B218" t="str">
        <f>"9780128120026"</f>
        <v>9780128120026</v>
      </c>
      <c r="C218">
        <v>230.4</v>
      </c>
      <c r="D218" t="str">
        <f>"USD"</f>
        <v>USD</v>
      </c>
      <c r="E218" t="str">
        <f>"2017"</f>
        <v>2017</v>
      </c>
      <c r="F218" t="str">
        <f>"Webb"</f>
        <v>Webb</v>
      </c>
      <c r="G218" t="str">
        <f>"dehkadehketab"</f>
        <v>dehkadehketab</v>
      </c>
    </row>
    <row r="219" spans="1:7" x14ac:dyDescent="0.25">
      <c r="A219" t="str">
        <f>"Annual Reports on NMR Spectroscopy, Volume91"</f>
        <v>Annual Reports on NMR Spectroscopy, Volume91</v>
      </c>
      <c r="B219" t="str">
        <f>"9780128120835"</f>
        <v>9780128120835</v>
      </c>
      <c r="C219">
        <v>230.4</v>
      </c>
      <c r="D219" t="str">
        <f>"USD"</f>
        <v>USD</v>
      </c>
      <c r="E219" t="str">
        <f>"2017"</f>
        <v>2017</v>
      </c>
      <c r="F219" t="str">
        <f>"Webb"</f>
        <v>Webb</v>
      </c>
      <c r="G219" t="str">
        <f>"dehkadehketab"</f>
        <v>dehkadehketab</v>
      </c>
    </row>
    <row r="220" spans="1:7" x14ac:dyDescent="0.25">
      <c r="A220" t="str">
        <f>"Annual Reports on NMR Spectroscopy, Volume93"</f>
        <v>Annual Reports on NMR Spectroscopy, Volume93</v>
      </c>
      <c r="B220" t="str">
        <f>"9780128149034"</f>
        <v>9780128149034</v>
      </c>
      <c r="C220">
        <v>230.4</v>
      </c>
      <c r="D220" t="str">
        <f>"USD"</f>
        <v>USD</v>
      </c>
      <c r="E220" t="str">
        <f>"2018"</f>
        <v>2018</v>
      </c>
      <c r="F220" t="str">
        <f>"Webb"</f>
        <v>Webb</v>
      </c>
      <c r="G220" t="str">
        <f>"dehkadehketab"</f>
        <v>dehkadehketab</v>
      </c>
    </row>
    <row r="221" spans="1:7" x14ac:dyDescent="0.25">
      <c r="A221" t="str">
        <f>"Annual Reports on NMR Spectroscopy, Volume94"</f>
        <v>Annual Reports on NMR Spectroscopy, Volume94</v>
      </c>
      <c r="B221" t="str">
        <f>"9780128152102"</f>
        <v>9780128152102</v>
      </c>
      <c r="C221">
        <v>230.4</v>
      </c>
      <c r="D221" t="str">
        <f>"USD"</f>
        <v>USD</v>
      </c>
      <c r="E221" t="str">
        <f>"2018"</f>
        <v>2018</v>
      </c>
      <c r="F221" t="str">
        <f>"Webb"</f>
        <v>Webb</v>
      </c>
      <c r="G221" t="str">
        <f>"dehkadehketab"</f>
        <v>dehkadehketab</v>
      </c>
    </row>
    <row r="222" spans="1:7" x14ac:dyDescent="0.25">
      <c r="A222" t="str">
        <f>"ANORGANISCHE CHEMIE"</f>
        <v>ANORGANISCHE CHEMIE</v>
      </c>
      <c r="B222" t="str">
        <f>"9783110225662"</f>
        <v>9783110225662</v>
      </c>
      <c r="C222">
        <v>22.48</v>
      </c>
      <c r="D222" t="str">
        <f>"EUR"</f>
        <v>EUR</v>
      </c>
      <c r="E222" t="str">
        <f>"2011"</f>
        <v>2011</v>
      </c>
      <c r="F222" t="str">
        <f>"RIEDEL, ERWIN; JANI"</f>
        <v>RIEDEL, ERWIN; JANI</v>
      </c>
      <c r="G222" t="str">
        <f>"AsarBartar"</f>
        <v>AsarBartar</v>
      </c>
    </row>
    <row r="223" spans="1:7" x14ac:dyDescent="0.25">
      <c r="A223" t="str">
        <f>"Antibiotics: Targets, Mechanisms and Resistance"</f>
        <v>Antibiotics: Targets, Mechanisms and Resistance</v>
      </c>
      <c r="B223" t="str">
        <f>"9783527333059"</f>
        <v>9783527333059</v>
      </c>
      <c r="C223">
        <v>143</v>
      </c>
      <c r="D223" t="str">
        <f t="shared" ref="D223:D229" si="20">"USD"</f>
        <v>USD</v>
      </c>
      <c r="E223" t="str">
        <f>"2013"</f>
        <v>2013</v>
      </c>
      <c r="F223" t="str">
        <f>"Gualerzi"</f>
        <v>Gualerzi</v>
      </c>
      <c r="G223" t="str">
        <f>"avanddanesh"</f>
        <v>avanddanesh</v>
      </c>
    </row>
    <row r="224" spans="1:7" x14ac:dyDescent="0.25">
      <c r="A224" t="str">
        <f>"Anticorrosive Rubber Lining, A Technical Know-how for Process Engineers."</f>
        <v>Anticorrosive Rubber Lining, A Technical Know-how for Process Engineers.</v>
      </c>
      <c r="B224" t="str">
        <f>"9780323431583"</f>
        <v>9780323431583</v>
      </c>
      <c r="C224">
        <v>180</v>
      </c>
      <c r="D224" t="str">
        <f t="shared" si="20"/>
        <v>USD</v>
      </c>
      <c r="E224" t="str">
        <f>"2017"</f>
        <v>2017</v>
      </c>
      <c r="F224" t="str">
        <f>"Chandrasekaran"</f>
        <v>Chandrasekaran</v>
      </c>
      <c r="G224" t="str">
        <f>"dehkadehketab"</f>
        <v>dehkadehketab</v>
      </c>
    </row>
    <row r="225" spans="1:7" x14ac:dyDescent="0.25">
      <c r="A225" t="str">
        <f>"Antimicrobial Drug Discovery"</f>
        <v>Antimicrobial Drug Discovery</v>
      </c>
      <c r="B225" t="str">
        <f>"9781845939434"</f>
        <v>9781845939434</v>
      </c>
      <c r="C225">
        <v>140.76</v>
      </c>
      <c r="D225" t="str">
        <f t="shared" si="20"/>
        <v>USD</v>
      </c>
      <c r="E225" t="str">
        <f>"2012"</f>
        <v>2012</v>
      </c>
      <c r="F225" t="str">
        <f>"George Tegos"</f>
        <v>George Tegos</v>
      </c>
      <c r="G225" t="str">
        <f>"safirketab"</f>
        <v>safirketab</v>
      </c>
    </row>
    <row r="226" spans="1:7" x14ac:dyDescent="0.25">
      <c r="A226" t="str">
        <f>"Antineoplastic Drugs: Organic Syntheses"</f>
        <v>Antineoplastic Drugs: Organic Syntheses</v>
      </c>
      <c r="B226" t="str">
        <f>"9781118892541"</f>
        <v>9781118892541</v>
      </c>
      <c r="C226">
        <v>80</v>
      </c>
      <c r="D226" t="str">
        <f t="shared" si="20"/>
        <v>USD</v>
      </c>
      <c r="E226" t="str">
        <f>"2015"</f>
        <v>2015</v>
      </c>
      <c r="F226" t="str">
        <f>"Lednicer"</f>
        <v>Lednicer</v>
      </c>
      <c r="G226" t="str">
        <f>"avanddanesh"</f>
        <v>avanddanesh</v>
      </c>
    </row>
    <row r="227" spans="1:7" x14ac:dyDescent="0.25">
      <c r="A227" t="str">
        <f>"Antitargets: Prediction and Prevention of Drug Side Effects"</f>
        <v>Antitargets: Prediction and Prevention of Drug Side Effects</v>
      </c>
      <c r="B227" t="str">
        <f>"9783527318216"</f>
        <v>9783527318216</v>
      </c>
      <c r="C227">
        <v>126</v>
      </c>
      <c r="D227" t="str">
        <f t="shared" si="20"/>
        <v>USD</v>
      </c>
      <c r="E227" t="str">
        <f>"2008"</f>
        <v>2008</v>
      </c>
      <c r="F227" t="str">
        <f>"Vaz"</f>
        <v>Vaz</v>
      </c>
      <c r="G227" t="str">
        <f>"safirketab"</f>
        <v>safirketab</v>
      </c>
    </row>
    <row r="228" spans="1:7" x14ac:dyDescent="0.25">
      <c r="A228" t="str">
        <f>"Appleton&amp;Lange's Outline Review  Clinical Chemistr"</f>
        <v>Appleton&amp;Lange's Outline Review  Clinical Chemistr</v>
      </c>
      <c r="B228" t="str">
        <f>"9780070318472"</f>
        <v>9780070318472</v>
      </c>
      <c r="C228">
        <v>16.5</v>
      </c>
      <c r="D228" t="str">
        <f t="shared" si="20"/>
        <v>USD</v>
      </c>
      <c r="E228" t="str">
        <f>"2001"</f>
        <v>2001</v>
      </c>
      <c r="F228" t="str">
        <f>"Christenson"</f>
        <v>Christenson</v>
      </c>
      <c r="G228" t="str">
        <f>"Parsian Publication"</f>
        <v>Parsian Publication</v>
      </c>
    </row>
    <row r="229" spans="1:7" x14ac:dyDescent="0.25">
      <c r="A229" t="str">
        <f>"Application of IC-MS and IC-ICP-MS in Environmental Research"</f>
        <v>Application of IC-MS and IC-ICP-MS in Environmental Research</v>
      </c>
      <c r="B229" t="str">
        <f>"9781118862001"</f>
        <v>9781118862001</v>
      </c>
      <c r="C229">
        <v>106.3</v>
      </c>
      <c r="D229" t="str">
        <f t="shared" si="20"/>
        <v>USD</v>
      </c>
      <c r="E229" t="str">
        <f t="shared" ref="E229:E235" si="21">"2016"</f>
        <v>2016</v>
      </c>
      <c r="F229" t="str">
        <f>"Michalski"</f>
        <v>Michalski</v>
      </c>
      <c r="G229" t="str">
        <f>"avanddanesh"</f>
        <v>avanddanesh</v>
      </c>
    </row>
    <row r="230" spans="1:7" x14ac:dyDescent="0.25">
      <c r="A230" t="str">
        <f>"Applications of Domino Transformations in Organic Synthesis, Volume 1"</f>
        <v>Applications of Domino Transformations in Organic Synthesis, Volume 1</v>
      </c>
      <c r="B230" t="str">
        <f>"9783131731418"</f>
        <v>9783131731418</v>
      </c>
      <c r="C230">
        <v>195</v>
      </c>
      <c r="D230" t="str">
        <f t="shared" ref="D230:D236" si="22">"EUR"</f>
        <v>EUR</v>
      </c>
      <c r="E230" t="str">
        <f t="shared" si="21"/>
        <v>2016</v>
      </c>
      <c r="F230" t="str">
        <f>"Carreira"</f>
        <v>Carreira</v>
      </c>
      <c r="G230" t="str">
        <f>"arang"</f>
        <v>arang</v>
      </c>
    </row>
    <row r="231" spans="1:7" x14ac:dyDescent="0.25">
      <c r="A231" t="str">
        <f>"Applications of Domino Transformations in Organic Synthesis, Volume 1"</f>
        <v>Applications of Domino Transformations in Organic Synthesis, Volume 1</v>
      </c>
      <c r="B231" t="str">
        <f>"9783131731418"</f>
        <v>9783131731418</v>
      </c>
      <c r="C231">
        <v>195</v>
      </c>
      <c r="D231" t="str">
        <f t="shared" si="22"/>
        <v>EUR</v>
      </c>
      <c r="E231" t="str">
        <f t="shared" si="21"/>
        <v>2016</v>
      </c>
      <c r="F231" t="str">
        <f>"Carreira"</f>
        <v>Carreira</v>
      </c>
      <c r="G231" t="str">
        <f>"Parsian Publication"</f>
        <v>Parsian Publication</v>
      </c>
    </row>
    <row r="232" spans="1:7" x14ac:dyDescent="0.25">
      <c r="A232" t="str">
        <f>"Applications of Domino Transformations in Organic Synthesis, Volume 2"</f>
        <v>Applications of Domino Transformations in Organic Synthesis, Volume 2</v>
      </c>
      <c r="B232" t="str">
        <f>"9783132211513"</f>
        <v>9783132211513</v>
      </c>
      <c r="C232">
        <v>195</v>
      </c>
      <c r="D232" t="str">
        <f t="shared" si="22"/>
        <v>EUR</v>
      </c>
      <c r="E232" t="str">
        <f t="shared" si="21"/>
        <v>2016</v>
      </c>
      <c r="F232" t="str">
        <f>"Carreira"</f>
        <v>Carreira</v>
      </c>
      <c r="G232" t="str">
        <f>"Parsian Publication"</f>
        <v>Parsian Publication</v>
      </c>
    </row>
    <row r="233" spans="1:7" x14ac:dyDescent="0.25">
      <c r="A233" t="str">
        <f>"Applications of Domino Transformations in Organic Synthesis, Volume 2"</f>
        <v>Applications of Domino Transformations in Organic Synthesis, Volume 2</v>
      </c>
      <c r="B233" t="str">
        <f>"9783132211513"</f>
        <v>9783132211513</v>
      </c>
      <c r="C233">
        <v>195</v>
      </c>
      <c r="D233" t="str">
        <f t="shared" si="22"/>
        <v>EUR</v>
      </c>
      <c r="E233" t="str">
        <f t="shared" si="21"/>
        <v>2016</v>
      </c>
      <c r="F233" t="str">
        <f>"Carreira"</f>
        <v>Carreira</v>
      </c>
      <c r="G233" t="str">
        <f>"arang"</f>
        <v>arang</v>
      </c>
    </row>
    <row r="234" spans="1:7" x14ac:dyDescent="0.25">
      <c r="A234" t="str">
        <f>"Applications of Domino Transformations in Organic Synthesis, Workbench Edition"</f>
        <v>Applications of Domino Transformations in Organic Synthesis, Workbench Edition</v>
      </c>
      <c r="B234" t="str">
        <f>"9783132401631"</f>
        <v>9783132401631</v>
      </c>
      <c r="C234">
        <v>337.5</v>
      </c>
      <c r="D234" t="str">
        <f t="shared" si="22"/>
        <v>EUR</v>
      </c>
      <c r="E234" t="str">
        <f t="shared" si="21"/>
        <v>2016</v>
      </c>
      <c r="F234" t="str">
        <f>"Snyder"</f>
        <v>Snyder</v>
      </c>
      <c r="G234" t="str">
        <f>"arang"</f>
        <v>arang</v>
      </c>
    </row>
    <row r="235" spans="1:7" x14ac:dyDescent="0.25">
      <c r="A235" t="str">
        <f>"Applications of Domino Transformations in Organic Synthesis, Workbench Edition"</f>
        <v>Applications of Domino Transformations in Organic Synthesis, Workbench Edition</v>
      </c>
      <c r="B235" t="str">
        <f>"9783132401631"</f>
        <v>9783132401631</v>
      </c>
      <c r="C235">
        <v>337.5</v>
      </c>
      <c r="D235" t="str">
        <f t="shared" si="22"/>
        <v>EUR</v>
      </c>
      <c r="E235" t="str">
        <f t="shared" si="21"/>
        <v>2016</v>
      </c>
      <c r="F235" t="str">
        <f>"Snyder"</f>
        <v>Snyder</v>
      </c>
      <c r="G235" t="str">
        <f>"Parsian Publication"</f>
        <v>Parsian Publication</v>
      </c>
    </row>
    <row r="236" spans="1:7" x14ac:dyDescent="0.25">
      <c r="A236" t="str">
        <f>"Applications of Quantum Dynamics in Chemistry"</f>
        <v>Applications of Quantum Dynamics in Chemistry</v>
      </c>
      <c r="B236" t="str">
        <f>"9783319539218"</f>
        <v>9783319539218</v>
      </c>
      <c r="C236">
        <v>107.99</v>
      </c>
      <c r="D236" t="str">
        <f t="shared" si="22"/>
        <v>EUR</v>
      </c>
      <c r="E236" t="str">
        <f>"2017"</f>
        <v>2017</v>
      </c>
      <c r="F236" t="str">
        <f>"Gatti"</f>
        <v>Gatti</v>
      </c>
      <c r="G236" t="str">
        <f>"negarestanabi"</f>
        <v>negarestanabi</v>
      </c>
    </row>
    <row r="237" spans="1:7" x14ac:dyDescent="0.25">
      <c r="A237" t="str">
        <f>"Applications of Vibrational Spectroscopy in Food Science, 2V Set"</f>
        <v>Applications of Vibrational Spectroscopy in Food Science, 2V Set</v>
      </c>
      <c r="B237" t="str">
        <f>"9780470742990"</f>
        <v>9780470742990</v>
      </c>
      <c r="C237">
        <v>162</v>
      </c>
      <c r="D237" t="str">
        <f>"USD"</f>
        <v>USD</v>
      </c>
      <c r="E237" t="str">
        <f>"2010"</f>
        <v>2010</v>
      </c>
      <c r="F237" t="str">
        <f>"Li-Chan"</f>
        <v>Li-Chan</v>
      </c>
      <c r="G237" t="str">
        <f>"avanddanesh"</f>
        <v>avanddanesh</v>
      </c>
    </row>
    <row r="238" spans="1:7" x14ac:dyDescent="0.25">
      <c r="A238" t="str">
        <f>"Applications of Vibrational Spectroscopy in Pharmaceutical Research and Development"</f>
        <v>Applications of Vibrational Spectroscopy in Pharmaceutical Research and Development</v>
      </c>
      <c r="B238" t="str">
        <f>"9780470870877"</f>
        <v>9780470870877</v>
      </c>
      <c r="C238">
        <v>120</v>
      </c>
      <c r="D238" t="str">
        <f>"USD"</f>
        <v>USD</v>
      </c>
      <c r="E238" t="str">
        <f>"2007"</f>
        <v>2007</v>
      </c>
      <c r="F238" t="str">
        <f>"Pivonka"</f>
        <v>Pivonka</v>
      </c>
      <c r="G238" t="str">
        <f>"safirketab"</f>
        <v>safirketab</v>
      </c>
    </row>
    <row r="239" spans="1:7" x14ac:dyDescent="0.25">
      <c r="A239" t="str">
        <f>"Applied Biocatalysis: From Fundamental Science to Industrial Applications"</f>
        <v>Applied Biocatalysis: From Fundamental Science to Industrial Applications</v>
      </c>
      <c r="B239" t="str">
        <f>"9783527336692"</f>
        <v>9783527336692</v>
      </c>
      <c r="C239">
        <v>148.80000000000001</v>
      </c>
      <c r="D239" t="str">
        <f>"USD"</f>
        <v>USD</v>
      </c>
      <c r="E239" t="str">
        <f>"2016"</f>
        <v>2016</v>
      </c>
      <c r="F239" t="str">
        <f>"Hilterhaus"</f>
        <v>Hilterhaus</v>
      </c>
      <c r="G239" t="str">
        <f>"avanddanesh"</f>
        <v>avanddanesh</v>
      </c>
    </row>
    <row r="240" spans="1:7" x14ac:dyDescent="0.25">
      <c r="A240" t="str">
        <f>"Applied Homogeneous Catalysis"</f>
        <v>Applied Homogeneous Catalysis</v>
      </c>
      <c r="B240" t="str">
        <f>"9783527326334"</f>
        <v>9783527326334</v>
      </c>
      <c r="C240">
        <v>60.6</v>
      </c>
      <c r="D240" t="str">
        <f>"USD"</f>
        <v>USD</v>
      </c>
      <c r="E240" t="str">
        <f>"2012"</f>
        <v>2012</v>
      </c>
      <c r="F240" t="str">
        <f>"Behr"</f>
        <v>Behr</v>
      </c>
      <c r="G240" t="str">
        <f>"avanddanesh"</f>
        <v>avanddanesh</v>
      </c>
    </row>
    <row r="241" spans="1:7" x14ac:dyDescent="0.25">
      <c r="A241" t="str">
        <f>"Applied Homogeneous Catalysis with Organometallic Compounds: A Comprehensive Handbook 4V Set,3e"</f>
        <v>Applied Homogeneous Catalysis with Organometallic Compounds: A Comprehensive Handbook 4V Set,3e</v>
      </c>
      <c r="B241" t="str">
        <f>"9783527328970"</f>
        <v>9783527328970</v>
      </c>
      <c r="C241">
        <v>729</v>
      </c>
      <c r="D241" t="str">
        <f>"USD"</f>
        <v>USD</v>
      </c>
      <c r="E241" t="str">
        <f>"2017"</f>
        <v>2017</v>
      </c>
      <c r="F241" t="str">
        <f>"Cornils"</f>
        <v>Cornils</v>
      </c>
      <c r="G241" t="str">
        <f>"avanddanesh"</f>
        <v>avanddanesh</v>
      </c>
    </row>
    <row r="242" spans="1:7" x14ac:dyDescent="0.25">
      <c r="A242" t="str">
        <f>"Applied Photochemistry: When Light Meets Molecules"</f>
        <v>Applied Photochemistry: When Light Meets Molecules</v>
      </c>
      <c r="B242" t="str">
        <f>"9783319316697"</f>
        <v>9783319316697</v>
      </c>
      <c r="C242">
        <v>125.99</v>
      </c>
      <c r="D242" t="str">
        <f>"EUR"</f>
        <v>EUR</v>
      </c>
      <c r="E242" t="str">
        <f>"2016"</f>
        <v>2016</v>
      </c>
      <c r="F242" t="str">
        <f>"Bergamini"</f>
        <v>Bergamini</v>
      </c>
      <c r="G242" t="str">
        <f>"negarestanabi"</f>
        <v>negarestanabi</v>
      </c>
    </row>
    <row r="243" spans="1:7" x14ac:dyDescent="0.25">
      <c r="A243" t="str">
        <f>"Applied Process Control: Efficient Problem Solving"</f>
        <v>Applied Process Control: Efficient Problem Solving</v>
      </c>
      <c r="B243" t="str">
        <f>"9783527341184"</f>
        <v>9783527341184</v>
      </c>
      <c r="C243">
        <v>102</v>
      </c>
      <c r="D243" t="str">
        <f>"USD"</f>
        <v>USD</v>
      </c>
      <c r="E243" t="str">
        <f>"2016"</f>
        <v>2016</v>
      </c>
      <c r="F243" t="str">
        <f>"Mulholland"</f>
        <v>Mulholland</v>
      </c>
      <c r="G243" t="str">
        <f>"avanddanesh"</f>
        <v>avanddanesh</v>
      </c>
    </row>
    <row r="244" spans="1:7" x14ac:dyDescent="0.25">
      <c r="A244" t="str">
        <f>"Applied Tribology: Bearing Design and Lubrication,3e"</f>
        <v>Applied Tribology: Bearing Design and Lubrication,3e</v>
      </c>
      <c r="B244" t="str">
        <f>"9781118637241"</f>
        <v>9781118637241</v>
      </c>
      <c r="C244">
        <v>144</v>
      </c>
      <c r="D244" t="str">
        <f>"USD"</f>
        <v>USD</v>
      </c>
      <c r="E244" t="str">
        <f>"2017"</f>
        <v>2017</v>
      </c>
      <c r="F244" t="str">
        <f>"Khonsari"</f>
        <v>Khonsari</v>
      </c>
      <c r="G244" t="str">
        <f>"avanddanesh"</f>
        <v>avanddanesh</v>
      </c>
    </row>
    <row r="245" spans="1:7" x14ac:dyDescent="0.25">
      <c r="A245" t="str">
        <f>"Aptamer HDBK-Functional Oligonucleotides and Their Applications"</f>
        <v>Aptamer HDBK-Functional Oligonucleotides and Their Applications</v>
      </c>
      <c r="B245" t="str">
        <f>"9783527310593"</f>
        <v>9783527310593</v>
      </c>
      <c r="C245">
        <v>135</v>
      </c>
      <c r="D245" t="str">
        <f>"USD"</f>
        <v>USD</v>
      </c>
      <c r="E245" t="str">
        <f>"2006"</f>
        <v>2006</v>
      </c>
      <c r="F245" t="str">
        <f>"Biochemistry"</f>
        <v>Biochemistry</v>
      </c>
      <c r="G245" t="str">
        <f>"safirketab"</f>
        <v>safirketab</v>
      </c>
    </row>
    <row r="246" spans="1:7" x14ac:dyDescent="0.25">
      <c r="A246" t="str">
        <f>"Aqueous Pretreatment of Plant Biomass for Biological and Chemical Conversion to Fuels and Chemicals"</f>
        <v>Aqueous Pretreatment of Plant Biomass for Biological and Chemical Conversion to Fuels and Chemicals</v>
      </c>
      <c r="B246" t="str">
        <f>"9780470972021"</f>
        <v>9780470972021</v>
      </c>
      <c r="C246">
        <v>97.5</v>
      </c>
      <c r="D246" t="str">
        <f>"USD"</f>
        <v>USD</v>
      </c>
      <c r="E246" t="str">
        <f>"2013"</f>
        <v>2013</v>
      </c>
      <c r="F246" t="str">
        <f>"Wyman"</f>
        <v>Wyman</v>
      </c>
      <c r="G246" t="str">
        <f>"avanddanesh"</f>
        <v>avanddanesh</v>
      </c>
    </row>
    <row r="247" spans="1:7" x14ac:dyDescent="0.25">
      <c r="A247" t="str">
        <f>"Archaeological Chemistry"</f>
        <v>Archaeological Chemistry</v>
      </c>
      <c r="B247" t="str">
        <f>"9781782624264"</f>
        <v>9781782624264</v>
      </c>
      <c r="C247">
        <v>38.299999999999997</v>
      </c>
      <c r="D247" t="str">
        <f>"GBP"</f>
        <v>GBP</v>
      </c>
      <c r="E247" t="str">
        <f>"2017"</f>
        <v>2017</v>
      </c>
      <c r="F247" t="str">
        <f>"A. Mark Pollard andÂ "</f>
        <v>A. Mark Pollard andÂ </v>
      </c>
      <c r="G247" t="str">
        <f>"arzinbooks"</f>
        <v>arzinbooks</v>
      </c>
    </row>
    <row r="248" spans="1:7" x14ac:dyDescent="0.25">
      <c r="A248" t="str">
        <f>"Arene Chemistry: Reaction Mechanisms and Methods for Aromatic Compounds"</f>
        <v>Arene Chemistry: Reaction Mechanisms and Methods for Aromatic Compounds</v>
      </c>
      <c r="B248" t="str">
        <f>"9781118752012"</f>
        <v>9781118752012</v>
      </c>
      <c r="C248">
        <v>165.8</v>
      </c>
      <c r="D248" t="str">
        <f>"USD"</f>
        <v>USD</v>
      </c>
      <c r="E248" t="str">
        <f>"2016"</f>
        <v>2016</v>
      </c>
      <c r="F248" t="str">
        <f>"Mortier"</f>
        <v>Mortier</v>
      </c>
      <c r="G248" t="str">
        <f>"avanddanesh"</f>
        <v>avanddanesh</v>
      </c>
    </row>
    <row r="249" spans="1:7" x14ac:dyDescent="0.25">
      <c r="A249" t="str">
        <f>"Aromatic Hydroxyketones: Preparation &amp; Physical Properties: Aromatic Hydroxyketones from Butanone (C4) to Dotriacontanone (C32)"</f>
        <v>Aromatic Hydroxyketones: Preparation &amp; Physical Properties: Aromatic Hydroxyketones from Butanone (C4) to Dotriacontanone (C32)</v>
      </c>
      <c r="B249" t="str">
        <f>"9783319141848"</f>
        <v>9783319141848</v>
      </c>
      <c r="C249">
        <v>494.99</v>
      </c>
      <c r="D249" t="str">
        <f>"EUR"</f>
        <v>EUR</v>
      </c>
      <c r="E249" t="str">
        <f>"2015"</f>
        <v>2015</v>
      </c>
      <c r="F249" t="str">
        <f>"Martin"</f>
        <v>Martin</v>
      </c>
      <c r="G249" t="str">
        <f>"negarestanabi"</f>
        <v>negarestanabi</v>
      </c>
    </row>
    <row r="250" spans="1:7" x14ac:dyDescent="0.25">
      <c r="A250" t="str">
        <f>"Around the World in 18 Elements"</f>
        <v>Around the World in 18 Elements</v>
      </c>
      <c r="B250" t="str">
        <f>"9781849738040"</f>
        <v>9781849738040</v>
      </c>
      <c r="C250">
        <v>11</v>
      </c>
      <c r="D250" t="str">
        <f>"GBP"</f>
        <v>GBP</v>
      </c>
      <c r="E250" t="str">
        <f>"2014"</f>
        <v>2014</v>
      </c>
      <c r="F250" t="str">
        <f>"David Scott"</f>
        <v>David Scott</v>
      </c>
      <c r="G250" t="str">
        <f>"arzinbooks"</f>
        <v>arzinbooks</v>
      </c>
    </row>
    <row r="251" spans="1:7" x14ac:dyDescent="0.25">
      <c r="A251" t="str">
        <f>"Arrow Pushing in Inorganic Chemistry: A Logical Approach to the Chemistry of the Main-Group Elements"</f>
        <v>Arrow Pushing in Inorganic Chemistry: A Logical Approach to the Chemistry of the Main-Group Elements</v>
      </c>
      <c r="B251" t="str">
        <f>"9781118173985"</f>
        <v>9781118173985</v>
      </c>
      <c r="C251">
        <v>54.7</v>
      </c>
      <c r="D251" t="str">
        <f>"USD"</f>
        <v>USD</v>
      </c>
      <c r="E251" t="str">
        <f>"2014"</f>
        <v>2014</v>
      </c>
      <c r="F251" t="str">
        <f>"Ghosh"</f>
        <v>Ghosh</v>
      </c>
      <c r="G251" t="str">
        <f>"avanddanesh"</f>
        <v>avanddanesh</v>
      </c>
    </row>
    <row r="252" spans="1:7" x14ac:dyDescent="0.25">
      <c r="A252" t="str">
        <f>"Arrow-Pushing in Organic Chemistry: An Easy Approach to Understanding Reaction Mechanisms,2e"</f>
        <v>Arrow-Pushing in Organic Chemistry: An Easy Approach to Understanding Reaction Mechanisms,2e</v>
      </c>
      <c r="B252" t="str">
        <f>"9781118991329"</f>
        <v>9781118991329</v>
      </c>
      <c r="C252">
        <v>54</v>
      </c>
      <c r="D252" t="str">
        <f>"USD"</f>
        <v>USD</v>
      </c>
      <c r="E252" t="str">
        <f>"2017"</f>
        <v>2017</v>
      </c>
      <c r="F252" t="str">
        <f>"Levy"</f>
        <v>Levy</v>
      </c>
      <c r="G252" t="str">
        <f>"avanddanesh"</f>
        <v>avanddanesh</v>
      </c>
    </row>
    <row r="253" spans="1:7" x14ac:dyDescent="0.25">
      <c r="A253" t="str">
        <f>"Arsenic: Exposure Sources, Health Risks, and Mechanisms of Toxicity"</f>
        <v>Arsenic: Exposure Sources, Health Risks, and Mechanisms of Toxicity</v>
      </c>
      <c r="B253" t="str">
        <f>"9781118511145"</f>
        <v>9781118511145</v>
      </c>
      <c r="C253">
        <v>156</v>
      </c>
      <c r="D253" t="str">
        <f>"USD"</f>
        <v>USD</v>
      </c>
      <c r="E253" t="str">
        <f>"2015"</f>
        <v>2015</v>
      </c>
      <c r="F253" t="str">
        <f>"States"</f>
        <v>States</v>
      </c>
      <c r="G253" t="str">
        <f>"avanddanesh"</f>
        <v>avanddanesh</v>
      </c>
    </row>
    <row r="254" spans="1:7" x14ac:dyDescent="0.25">
      <c r="A254" t="str">
        <f>"Art of Process Chemistry"</f>
        <v>Art of Process Chemistry</v>
      </c>
      <c r="B254" t="str">
        <f>"9783527324705"</f>
        <v>9783527324705</v>
      </c>
      <c r="C254">
        <v>89.6</v>
      </c>
      <c r="D254" t="str">
        <f>"USD"</f>
        <v>USD</v>
      </c>
      <c r="E254" t="str">
        <f>"2011"</f>
        <v>2011</v>
      </c>
      <c r="F254" t="str">
        <f>"Yasuda"</f>
        <v>Yasuda</v>
      </c>
      <c r="G254" t="str">
        <f>"safirketab"</f>
        <v>safirketab</v>
      </c>
    </row>
    <row r="255" spans="1:7" x14ac:dyDescent="0.25">
      <c r="A255" t="str">
        <f>"Assay Development: Fundamentals and Practices"</f>
        <v>Assay Development: Fundamentals and Practices</v>
      </c>
      <c r="B255" t="str">
        <f>"9780470191156"</f>
        <v>9780470191156</v>
      </c>
      <c r="C255">
        <v>122.25</v>
      </c>
      <c r="D255" t="str">
        <f>"USD"</f>
        <v>USD</v>
      </c>
      <c r="E255" t="str">
        <f>"2010"</f>
        <v>2010</v>
      </c>
      <c r="F255" t="str">
        <f>"Wu"</f>
        <v>Wu</v>
      </c>
      <c r="G255" t="str">
        <f>"safirketab"</f>
        <v>safirketab</v>
      </c>
    </row>
    <row r="256" spans="1:7" x14ac:dyDescent="0.25">
      <c r="A256" t="str">
        <f>"Astrochemistry of Dust, Ice and Gas"</f>
        <v>Astrochemistry of Dust, Ice and Gas</v>
      </c>
      <c r="B256" t="str">
        <f>"9781782621287"</f>
        <v>9781782621287</v>
      </c>
      <c r="C256">
        <v>93.5</v>
      </c>
      <c r="D256" t="str">
        <f>"GBP"</f>
        <v>GBP</v>
      </c>
      <c r="E256" t="str">
        <f>"2014"</f>
        <v>2014</v>
      </c>
      <c r="F256" t="str">
        <f>"Royal Society Of Che"</f>
        <v>Royal Society Of Che</v>
      </c>
      <c r="G256" t="str">
        <f>"arzinbooks"</f>
        <v>arzinbooks</v>
      </c>
    </row>
    <row r="257" spans="1:7" x14ac:dyDescent="0.25">
      <c r="A257" t="str">
        <f>"ASTROCHEMISTRY: FROM THE BIG BANG TO THE PRESENT DAY"</f>
        <v>ASTROCHEMISTRY: FROM THE BIG BANG TO THE PRESENT DAY</v>
      </c>
      <c r="B257" t="str">
        <f>"9781786340382"</f>
        <v>9781786340382</v>
      </c>
      <c r="C257">
        <v>33.299999999999997</v>
      </c>
      <c r="D257" t="str">
        <f>"GBP"</f>
        <v>GBP</v>
      </c>
      <c r="E257" t="str">
        <f>"2017"</f>
        <v>2017</v>
      </c>
      <c r="F257" t="str">
        <f>"VALLANCE CLAIRE"</f>
        <v>VALLANCE CLAIRE</v>
      </c>
      <c r="G257" t="str">
        <f>"AsarBartar"</f>
        <v>AsarBartar</v>
      </c>
    </row>
    <row r="258" spans="1:7" x14ac:dyDescent="0.25">
      <c r="A258" t="str">
        <f>"Asymmetric Bronsted Acid Catalysis"</f>
        <v>Asymmetric Bronsted Acid Catalysis</v>
      </c>
      <c r="B258" t="str">
        <f>"9783527339174"</f>
        <v>9783527339174</v>
      </c>
      <c r="C258">
        <v>148.80000000000001</v>
      </c>
      <c r="D258" t="str">
        <f>"USD"</f>
        <v>USD</v>
      </c>
      <c r="E258" t="str">
        <f>"2016"</f>
        <v>2016</v>
      </c>
      <c r="F258" t="str">
        <f>"Rueping"</f>
        <v>Rueping</v>
      </c>
      <c r="G258" t="str">
        <f>"avanddanesh"</f>
        <v>avanddanesh</v>
      </c>
    </row>
    <row r="259" spans="1:7" x14ac:dyDescent="0.25">
      <c r="A259" t="str">
        <f>"Asymmetric Synthesis of Nitrogen Heterocycles"</f>
        <v>Asymmetric Synthesis of Nitrogen Heterocycles</v>
      </c>
      <c r="B259" t="str">
        <f>"9783527320363"</f>
        <v>9783527320363</v>
      </c>
      <c r="C259">
        <v>151.19999999999999</v>
      </c>
      <c r="D259" t="str">
        <f>"USD"</f>
        <v>USD</v>
      </c>
      <c r="E259" t="str">
        <f>"2009"</f>
        <v>2009</v>
      </c>
      <c r="F259" t="str">
        <f>"Royer"</f>
        <v>Royer</v>
      </c>
      <c r="G259" t="str">
        <f>"safirketab"</f>
        <v>safirketab</v>
      </c>
    </row>
    <row r="260" spans="1:7" x14ac:dyDescent="0.25">
      <c r="A260" t="str">
        <f>"Asymmetric Synthesis of Non-Proteinogenic Amino Acids"</f>
        <v>Asymmetric Synthesis of Non-Proteinogenic Amino Acids</v>
      </c>
      <c r="B260" t="str">
        <f>"9783527340415"</f>
        <v>9783527340415</v>
      </c>
      <c r="C260">
        <v>174.3</v>
      </c>
      <c r="D260" t="str">
        <f>"USD"</f>
        <v>USD</v>
      </c>
      <c r="E260" t="str">
        <f>"2016"</f>
        <v>2016</v>
      </c>
      <c r="F260" t="str">
        <f>"Saghyan"</f>
        <v>Saghyan</v>
      </c>
      <c r="G260" t="str">
        <f>"avanddanesh"</f>
        <v>avanddanesh</v>
      </c>
    </row>
    <row r="261" spans="1:7" x14ac:dyDescent="0.25">
      <c r="A261" t="str">
        <f>"Asymmetric Synthesis of Three-Membered Rings"</f>
        <v>Asymmetric Synthesis of Three-Membered Rings</v>
      </c>
      <c r="B261" t="str">
        <f>"9783527341146"</f>
        <v>9783527341146</v>
      </c>
      <c r="C261">
        <v>193.5</v>
      </c>
      <c r="D261" t="str">
        <f>"USD"</f>
        <v>USD</v>
      </c>
      <c r="E261" t="str">
        <f>"2017"</f>
        <v>2017</v>
      </c>
      <c r="F261" t="str">
        <f>"Pellissier"</f>
        <v>Pellissier</v>
      </c>
      <c r="G261" t="str">
        <f>"avanddanesh"</f>
        <v>avanddanesh</v>
      </c>
    </row>
    <row r="262" spans="1:7" x14ac:dyDescent="0.25">
      <c r="A262" t="str">
        <f>"Atlas of Material Damage, 2nd Edition"</f>
        <v>Atlas of Material Damage, 2nd Edition</v>
      </c>
      <c r="B262" t="str">
        <f>"9781927885253"</f>
        <v>9781927885253</v>
      </c>
      <c r="C262">
        <v>301.5</v>
      </c>
      <c r="D262" t="str">
        <f>"USD"</f>
        <v>USD</v>
      </c>
      <c r="E262" t="str">
        <f>"2017"</f>
        <v>2017</v>
      </c>
      <c r="F262" t="str">
        <f>"Wypych"</f>
        <v>Wypych</v>
      </c>
      <c r="G262" t="str">
        <f>"dehkadehketab"</f>
        <v>dehkadehketab</v>
      </c>
    </row>
    <row r="263" spans="1:7" x14ac:dyDescent="0.25">
      <c r="A263" t="str">
        <f>"ATMOSPHERIC CHEMISTRY: FROM THE SURFACE TO THE STRATOSPHERE"</f>
        <v>ATMOSPHERIC CHEMISTRY: FROM THE SURFACE TO THE STRATOSPHERE</v>
      </c>
      <c r="B263" t="str">
        <f>"9781786341761"</f>
        <v>9781786341761</v>
      </c>
      <c r="C263">
        <v>33.299999999999997</v>
      </c>
      <c r="D263" t="str">
        <f>"GBP"</f>
        <v>GBP</v>
      </c>
      <c r="E263" t="str">
        <f>"2017"</f>
        <v>2017</v>
      </c>
      <c r="F263" t="str">
        <f>"RITCHIE GRANT"</f>
        <v>RITCHIE GRANT</v>
      </c>
      <c r="G263" t="str">
        <f>"AsarBartar"</f>
        <v>AsarBartar</v>
      </c>
    </row>
    <row r="264" spans="1:7" x14ac:dyDescent="0.25">
      <c r="A264" t="str">
        <f>"Atmospheric Corrosion,2e"</f>
        <v>Atmospheric Corrosion,2e</v>
      </c>
      <c r="B264" t="str">
        <f>"9781118762271"</f>
        <v>9781118762271</v>
      </c>
      <c r="C264">
        <v>106.3</v>
      </c>
      <c r="D264" t="str">
        <f>"USD"</f>
        <v>USD</v>
      </c>
      <c r="E264" t="str">
        <f>"2016"</f>
        <v>2016</v>
      </c>
      <c r="F264" t="str">
        <f>"Leygraf"</f>
        <v>Leygraf</v>
      </c>
      <c r="G264" t="str">
        <f>"avanddanesh"</f>
        <v>avanddanesh</v>
      </c>
    </row>
    <row r="265" spans="1:7" x14ac:dyDescent="0.25">
      <c r="A265" t="str">
        <f>"Atomic Charges, Bond Properties, and Molecular Energies"</f>
        <v>Atomic Charges, Bond Properties, and Molecular Energies</v>
      </c>
      <c r="B265" t="str">
        <f>"9780470376225"</f>
        <v>9780470376225</v>
      </c>
      <c r="C265">
        <v>84.41</v>
      </c>
      <c r="D265" t="str">
        <f>"USD"</f>
        <v>USD</v>
      </c>
      <c r="E265" t="str">
        <f>"2009"</f>
        <v>2009</v>
      </c>
      <c r="F265" t="str">
        <f>"Fliszar"</f>
        <v>Fliszar</v>
      </c>
      <c r="G265" t="str">
        <f>"safirketab"</f>
        <v>safirketab</v>
      </c>
    </row>
    <row r="266" spans="1:7" x14ac:dyDescent="0.25">
      <c r="A266" t="str">
        <f>"Automation in Proteomics and Genomics:An Engineering Case-Based Approach"</f>
        <v>Automation in Proteomics and Genomics:An Engineering Case-Based Approach</v>
      </c>
      <c r="B266" t="str">
        <f>"9780470727232"</f>
        <v>9780470727232</v>
      </c>
      <c r="C266">
        <v>123.75</v>
      </c>
      <c r="D266" t="str">
        <f>"USD"</f>
        <v>USD</v>
      </c>
      <c r="E266" t="str">
        <f>"2009"</f>
        <v>2009</v>
      </c>
      <c r="F266" t="str">
        <f>"Alterovitz"</f>
        <v>Alterovitz</v>
      </c>
      <c r="G266" t="str">
        <f>"safirketab"</f>
        <v>safirketab</v>
      </c>
    </row>
    <row r="267" spans="1:7" x14ac:dyDescent="0.25">
      <c r="A267" t="str">
        <f>"Automation Solutions for Analytical Measurements: Concepts and Applications"</f>
        <v>Automation Solutions for Analytical Measurements: Concepts and Applications</v>
      </c>
      <c r="B267" t="str">
        <f>"9783527342174"</f>
        <v>9783527342174</v>
      </c>
      <c r="C267">
        <v>121.5</v>
      </c>
      <c r="D267" t="str">
        <f>"USD"</f>
        <v>USD</v>
      </c>
      <c r="E267" t="str">
        <f>"2017"</f>
        <v>2017</v>
      </c>
      <c r="F267" t="str">
        <f>"Fleischer"</f>
        <v>Fleischer</v>
      </c>
      <c r="G267" t="str">
        <f>"avanddanesh"</f>
        <v>avanddanesh</v>
      </c>
    </row>
    <row r="268" spans="1:7" x14ac:dyDescent="0.25">
      <c r="A268" t="str">
        <f>"AVIATION AND CLIMATE CHANGE LESSONS FROM EUROPEAN POLIC"</f>
        <v>AVIATION AND CLIMATE CHANGE LESSONS FROM EUROPEAN POLIC</v>
      </c>
      <c r="B268" t="str">
        <f>"9780415397056"</f>
        <v>9780415397056</v>
      </c>
      <c r="C268">
        <v>25.5</v>
      </c>
      <c r="D268" t="str">
        <f>"GBP"</f>
        <v>GBP</v>
      </c>
      <c r="E268" t="str">
        <f>"2009"</f>
        <v>2009</v>
      </c>
      <c r="F268" t="str">
        <f>"K.ANDERSON, A.BOWS"</f>
        <v>K.ANDERSON, A.BOWS</v>
      </c>
      <c r="G268" t="str">
        <f>"AsarBartar"</f>
        <v>AsarBartar</v>
      </c>
    </row>
    <row r="269" spans="1:7" x14ac:dyDescent="0.25">
      <c r="A269" t="str">
        <f>"Aziridines and Epoxides in Organic Synthesis"</f>
        <v>Aziridines and Epoxides in Organic Synthesis</v>
      </c>
      <c r="B269" t="str">
        <f>"9783527312139"</f>
        <v>9783527312139</v>
      </c>
      <c r="C269">
        <v>135</v>
      </c>
      <c r="D269" t="str">
        <f>"USD"</f>
        <v>USD</v>
      </c>
      <c r="E269" t="str">
        <f>"2006"</f>
        <v>2006</v>
      </c>
      <c r="F269" t="str">
        <f>"Organic Chemistry"</f>
        <v>Organic Chemistry</v>
      </c>
      <c r="G269" t="str">
        <f>"safirketab"</f>
        <v>safirketab</v>
      </c>
    </row>
    <row r="270" spans="1:7" x14ac:dyDescent="0.25">
      <c r="A270" t="str">
        <f>"Bacteriophages in Health and Disease"</f>
        <v>Bacteriophages in Health and Disease</v>
      </c>
      <c r="B270" t="str">
        <f>"9781845939847"</f>
        <v>9781845939847</v>
      </c>
      <c r="C270">
        <v>105.57</v>
      </c>
      <c r="D270" t="str">
        <f>"USD"</f>
        <v>USD</v>
      </c>
      <c r="E270" t="str">
        <f>"2012"</f>
        <v>2012</v>
      </c>
      <c r="F270" t="str">
        <f>"Paul Hyman"</f>
        <v>Paul Hyman</v>
      </c>
      <c r="G270" t="str">
        <f>"safirketab"</f>
        <v>safirketab</v>
      </c>
    </row>
    <row r="271" spans="1:7" x14ac:dyDescent="0.25">
      <c r="A271" t="str">
        <f>"Basic Chemical Thermodynamics: (6th Edition)"</f>
        <v>Basic Chemical Thermodynamics: (6th Edition)</v>
      </c>
      <c r="B271" t="str">
        <f>"9781783263363"</f>
        <v>9781783263363</v>
      </c>
      <c r="C271">
        <v>21.6</v>
      </c>
      <c r="D271" t="str">
        <f>"GBP"</f>
        <v>GBP</v>
      </c>
      <c r="E271" t="str">
        <f>"2014"</f>
        <v>2014</v>
      </c>
      <c r="F271" t="str">
        <f>"E Brian Smith"</f>
        <v>E Brian Smith</v>
      </c>
      <c r="G271" t="str">
        <f>"AsarBartar"</f>
        <v>AsarBartar</v>
      </c>
    </row>
    <row r="272" spans="1:7" x14ac:dyDescent="0.25">
      <c r="A272" t="str">
        <f>"BASIC CONCEPT OF ELECTROCHEMISTRY"</f>
        <v>BASIC CONCEPT OF ELECTROCHEMISTRY</v>
      </c>
      <c r="B272" t="str">
        <f>"9788178849423"</f>
        <v>9788178849423</v>
      </c>
      <c r="C272">
        <v>12.95</v>
      </c>
      <c r="D272" t="str">
        <f t="shared" ref="D272:D282" si="23">"USD"</f>
        <v>USD</v>
      </c>
      <c r="E272" t="str">
        <f>"2012"</f>
        <v>2012</v>
      </c>
      <c r="F272" t="str">
        <f>"Bajaj, R."</f>
        <v>Bajaj, R.</v>
      </c>
      <c r="G272" t="str">
        <f>"supply"</f>
        <v>supply</v>
      </c>
    </row>
    <row r="273" spans="1:7" x14ac:dyDescent="0.25">
      <c r="A273" t="str">
        <f>"Basic Concepts of Chemistry, ISV,9e"</f>
        <v>Basic Concepts of Chemistry, ISV,9e</v>
      </c>
      <c r="B273" t="str">
        <f>"9781118092477"</f>
        <v>9781118092477</v>
      </c>
      <c r="C273">
        <v>21</v>
      </c>
      <c r="D273" t="str">
        <f t="shared" si="23"/>
        <v>USD</v>
      </c>
      <c r="E273" t="str">
        <f>"2012"</f>
        <v>2012</v>
      </c>
      <c r="F273" t="str">
        <f>"Malone"</f>
        <v>Malone</v>
      </c>
      <c r="G273" t="str">
        <f t="shared" ref="G273:G279" si="24">"avanddanesh"</f>
        <v>avanddanesh</v>
      </c>
    </row>
    <row r="274" spans="1:7" x14ac:dyDescent="0.25">
      <c r="A274" t="str">
        <f>"Basic Concepts of X-Ray Diffraction"</f>
        <v>Basic Concepts of X-Ray Diffraction</v>
      </c>
      <c r="B274" t="str">
        <f>"9783527335619"</f>
        <v>9783527335619</v>
      </c>
      <c r="C274">
        <v>75.7</v>
      </c>
      <c r="D274" t="str">
        <f t="shared" si="23"/>
        <v>USD</v>
      </c>
      <c r="E274" t="str">
        <f>"2014"</f>
        <v>2014</v>
      </c>
      <c r="F274" t="str">
        <f>"Zolotoyabko"</f>
        <v>Zolotoyabko</v>
      </c>
      <c r="G274" t="str">
        <f t="shared" si="24"/>
        <v>avanddanesh</v>
      </c>
    </row>
    <row r="275" spans="1:7" x14ac:dyDescent="0.25">
      <c r="A275" t="str">
        <f>"Basic Guide to System Safety,3e"</f>
        <v>Basic Guide to System Safety,3e</v>
      </c>
      <c r="B275" t="str">
        <f>"9781118460207"</f>
        <v>9781118460207</v>
      </c>
      <c r="C275">
        <v>58.5</v>
      </c>
      <c r="D275" t="str">
        <f t="shared" si="23"/>
        <v>USD</v>
      </c>
      <c r="E275" t="str">
        <f>"2014"</f>
        <v>2014</v>
      </c>
      <c r="F275" t="str">
        <f>"Vincoli"</f>
        <v>Vincoli</v>
      </c>
      <c r="G275" t="str">
        <f t="shared" si="24"/>
        <v>avanddanesh</v>
      </c>
    </row>
    <row r="276" spans="1:7" x14ac:dyDescent="0.25">
      <c r="A276" t="str">
        <f>"Basics of Analytical Chemistry and Chemical Equilibria"</f>
        <v>Basics of Analytical Chemistry and Chemical Equilibria</v>
      </c>
      <c r="B276" t="str">
        <f>"9780470592083"</f>
        <v>9780470592083</v>
      </c>
      <c r="C276">
        <v>49.4</v>
      </c>
      <c r="D276" t="str">
        <f t="shared" si="23"/>
        <v>USD</v>
      </c>
      <c r="E276" t="str">
        <f>"2013"</f>
        <v>2013</v>
      </c>
      <c r="F276" t="str">
        <f>"Tissue"</f>
        <v>Tissue</v>
      </c>
      <c r="G276" t="str">
        <f t="shared" si="24"/>
        <v>avanddanesh</v>
      </c>
    </row>
    <row r="277" spans="1:7" x14ac:dyDescent="0.25">
      <c r="A277" t="str">
        <f>"Beginners Guide to Liquid Chromatography"</f>
        <v>Beginners Guide to Liquid Chromatography</v>
      </c>
      <c r="B277" t="str">
        <f>"9781879732025"</f>
        <v>9781879732025</v>
      </c>
      <c r="C277">
        <v>18.7</v>
      </c>
      <c r="D277" t="str">
        <f t="shared" si="23"/>
        <v>USD</v>
      </c>
      <c r="E277" t="str">
        <f>"2014"</f>
        <v>2014</v>
      </c>
      <c r="F277" t="str">
        <f>"Waters"</f>
        <v>Waters</v>
      </c>
      <c r="G277" t="str">
        <f t="shared" si="24"/>
        <v>avanddanesh</v>
      </c>
    </row>
    <row r="278" spans="1:7" x14ac:dyDescent="0.25">
      <c r="A278" t="str">
        <f>"Beginners Guide to Size-Exclusion Chromatography"</f>
        <v>Beginners Guide to Size-Exclusion Chromatography</v>
      </c>
      <c r="B278" t="str">
        <f>"9781467593724"</f>
        <v>9781467593724</v>
      </c>
      <c r="C278">
        <v>18.7</v>
      </c>
      <c r="D278" t="str">
        <f t="shared" si="23"/>
        <v>USD</v>
      </c>
      <c r="E278" t="str">
        <f>"2014"</f>
        <v>2014</v>
      </c>
      <c r="F278" t="str">
        <f>"Waters"</f>
        <v>Waters</v>
      </c>
      <c r="G278" t="str">
        <f t="shared" si="24"/>
        <v>avanddanesh</v>
      </c>
    </row>
    <row r="279" spans="1:7" x14ac:dyDescent="0.25">
      <c r="A279" t="str">
        <f>"Beginners Guide to SPE: Solid-Phase Extraction"</f>
        <v>Beginners Guide to SPE: Solid-Phase Extraction</v>
      </c>
      <c r="B279" t="str">
        <f>"9781467539203"</f>
        <v>9781467539203</v>
      </c>
      <c r="C279">
        <v>76.5</v>
      </c>
      <c r="D279" t="str">
        <f t="shared" si="23"/>
        <v>USD</v>
      </c>
      <c r="E279" t="str">
        <f>"2014"</f>
        <v>2014</v>
      </c>
      <c r="F279" t="str">
        <f>"Waters"</f>
        <v>Waters</v>
      </c>
      <c r="G279" t="str">
        <f t="shared" si="24"/>
        <v>avanddanesh</v>
      </c>
    </row>
    <row r="280" spans="1:7" x14ac:dyDescent="0.25">
      <c r="A280" t="str">
        <f>"Best Synthetic Methods: Organophosphorus (V) Chemistry"</f>
        <v>Best Synthetic Methods: Organophosphorus (V) Chemistry</v>
      </c>
      <c r="B280" t="str">
        <f>"9780081015797"</f>
        <v>9780081015797</v>
      </c>
      <c r="C280">
        <v>202.5</v>
      </c>
      <c r="D280" t="str">
        <f t="shared" si="23"/>
        <v>USD</v>
      </c>
      <c r="E280" t="str">
        <f>"2017"</f>
        <v>2017</v>
      </c>
      <c r="F280" t="str">
        <f>"Timperley"</f>
        <v>Timperley</v>
      </c>
      <c r="G280" t="str">
        <f>"dehkadehketab"</f>
        <v>dehkadehketab</v>
      </c>
    </row>
    <row r="281" spans="1:7" x14ac:dyDescent="0.25">
      <c r="A281" t="str">
        <f>"Beyond Born-Oppenheimer: Electronic Nonadiabatic Coupling Terms and Conical Intersections"</f>
        <v>Beyond Born-Oppenheimer: Electronic Nonadiabatic Coupling Terms and Conical Intersections</v>
      </c>
      <c r="B281" t="str">
        <f>"9780471778912"</f>
        <v>9780471778912</v>
      </c>
      <c r="C281">
        <v>114</v>
      </c>
      <c r="D281" t="str">
        <f t="shared" si="23"/>
        <v>USD</v>
      </c>
      <c r="E281" t="str">
        <f>"2006"</f>
        <v>2006</v>
      </c>
      <c r="F281" t="str">
        <f>"Baer-Chemistry"</f>
        <v>Baer-Chemistry</v>
      </c>
      <c r="G281" t="str">
        <f>"safirketab"</f>
        <v>safirketab</v>
      </c>
    </row>
    <row r="282" spans="1:7" x14ac:dyDescent="0.25">
      <c r="A282" t="str">
        <f>"Bicontinuous Liquid Crystals"</f>
        <v>Bicontinuous Liquid Crystals</v>
      </c>
      <c r="B282" t="str">
        <f>"9781574444490"</f>
        <v>9781574444490</v>
      </c>
      <c r="C282">
        <v>129.54</v>
      </c>
      <c r="D282" t="str">
        <f t="shared" si="23"/>
        <v>USD</v>
      </c>
      <c r="E282" t="str">
        <f>"2005"</f>
        <v>2005</v>
      </c>
      <c r="F282" t="str">
        <f>"C.R.A. Godfrey"</f>
        <v>C.R.A. Godfrey</v>
      </c>
      <c r="G282" t="str">
        <f>"safirketab"</f>
        <v>safirketab</v>
      </c>
    </row>
    <row r="283" spans="1:7" x14ac:dyDescent="0.25">
      <c r="A283" t="str">
        <f>"Binding, Transport and Storage of Metal Ions in Biological Cells"</f>
        <v>Binding, Transport and Storage of Metal Ions in Biological Cells</v>
      </c>
      <c r="B283" t="str">
        <f>"9781849735995"</f>
        <v>9781849735995</v>
      </c>
      <c r="C283">
        <v>107.3</v>
      </c>
      <c r="D283" t="str">
        <f>"GBP"</f>
        <v>GBP</v>
      </c>
      <c r="E283" t="str">
        <f>"2014"</f>
        <v>2014</v>
      </c>
      <c r="F283" t="str">
        <f>"Wolfgang Maret(Edito"</f>
        <v>Wolfgang Maret(Edito</v>
      </c>
      <c r="G283" t="str">
        <f>"arzinbooks"</f>
        <v>arzinbooks</v>
      </c>
    </row>
    <row r="284" spans="1:7" x14ac:dyDescent="0.25">
      <c r="A284" t="str">
        <f>"Bioactive Carboxylic Compound Classes: Pharmaceuticals and Agrochemicals"</f>
        <v>Bioactive Carboxylic Compound Classes: Pharmaceuticals and Agrochemicals</v>
      </c>
      <c r="B284" t="str">
        <f>"9783527339471"</f>
        <v>9783527339471</v>
      </c>
      <c r="C284">
        <v>182.8</v>
      </c>
      <c r="D284" t="str">
        <f t="shared" ref="D284:D290" si="25">"USD"</f>
        <v>USD</v>
      </c>
      <c r="E284" t="str">
        <f>"2016"</f>
        <v>2016</v>
      </c>
      <c r="F284" t="str">
        <f>"Lamberth"</f>
        <v>Lamberth</v>
      </c>
      <c r="G284" t="str">
        <f t="shared" ref="G284:G289" si="26">"avanddanesh"</f>
        <v>avanddanesh</v>
      </c>
    </row>
    <row r="285" spans="1:7" x14ac:dyDescent="0.25">
      <c r="A285" t="str">
        <f>"Bioactive Heterocyclic Compound Classes: Pharmaceuticals and Agrochemicals, 2V Set"</f>
        <v>Bioactive Heterocyclic Compound Classes: Pharmaceuticals and Agrochemicals, 2V Set</v>
      </c>
      <c r="B285" t="str">
        <f>"9783527329939"</f>
        <v>9783527329939</v>
      </c>
      <c r="C285">
        <v>258.60000000000002</v>
      </c>
      <c r="D285" t="str">
        <f t="shared" si="25"/>
        <v>USD</v>
      </c>
      <c r="E285" t="str">
        <f>"2012"</f>
        <v>2012</v>
      </c>
      <c r="F285" t="str">
        <f>"Lamberth"</f>
        <v>Lamberth</v>
      </c>
      <c r="G285" t="str">
        <f t="shared" si="26"/>
        <v>avanddanesh</v>
      </c>
    </row>
    <row r="286" spans="1:7" x14ac:dyDescent="0.25">
      <c r="A286" t="str">
        <f>"Bioactive Natural Products: Chemistry and Biology"</f>
        <v>Bioactive Natural Products: Chemistry and Biology</v>
      </c>
      <c r="B286" t="str">
        <f>"9783527337941"</f>
        <v>9783527337941</v>
      </c>
      <c r="C286">
        <v>176</v>
      </c>
      <c r="D286" t="str">
        <f t="shared" si="25"/>
        <v>USD</v>
      </c>
      <c r="E286" t="str">
        <f>"2015"</f>
        <v>2015</v>
      </c>
      <c r="F286" t="str">
        <f>"Brahmachari"</f>
        <v>Brahmachari</v>
      </c>
      <c r="G286" t="str">
        <f t="shared" si="26"/>
        <v>avanddanesh</v>
      </c>
    </row>
    <row r="287" spans="1:7" x14ac:dyDescent="0.25">
      <c r="A287" t="str">
        <f>"Bioanalytics: Analytical Methods and Concepts in Biochemistry and Molecular Biology"</f>
        <v>Bioanalytics: Analytical Methods and Concepts in Biochemistry and Molecular Biology</v>
      </c>
      <c r="B287" t="str">
        <f>"9783527339198"</f>
        <v>9783527339198</v>
      </c>
      <c r="C287">
        <v>121.5</v>
      </c>
      <c r="D287" t="str">
        <f t="shared" si="25"/>
        <v>USD</v>
      </c>
      <c r="E287" t="str">
        <f>"2018"</f>
        <v>2018</v>
      </c>
      <c r="F287" t="str">
        <f>"Lottspeich"</f>
        <v>Lottspeich</v>
      </c>
      <c r="G287" t="str">
        <f t="shared" si="26"/>
        <v>avanddanesh</v>
      </c>
    </row>
    <row r="288" spans="1:7" x14ac:dyDescent="0.25">
      <c r="A288" t="str">
        <f>"Bio-Based Solvents"</f>
        <v>Bio-Based Solvents</v>
      </c>
      <c r="B288" t="str">
        <f>"9781119065395"</f>
        <v>9781119065395</v>
      </c>
      <c r="C288">
        <v>108</v>
      </c>
      <c r="D288" t="str">
        <f t="shared" si="25"/>
        <v>USD</v>
      </c>
      <c r="E288" t="str">
        <f>"2017"</f>
        <v>2017</v>
      </c>
      <c r="F288" t="str">
        <f>"JÃ©rÃ´me"</f>
        <v>JÃ©rÃ´me</v>
      </c>
      <c r="G288" t="str">
        <f t="shared" si="26"/>
        <v>avanddanesh</v>
      </c>
    </row>
    <row r="289" spans="1:7" x14ac:dyDescent="0.25">
      <c r="A289" t="str">
        <f>"Biocatalysis and Biomolecular Engineering"</f>
        <v>Biocatalysis and Biomolecular Engineering</v>
      </c>
      <c r="B289" t="str">
        <f>"9780470487594"</f>
        <v>9780470487594</v>
      </c>
      <c r="C289">
        <v>65.2</v>
      </c>
      <c r="D289" t="str">
        <f t="shared" si="25"/>
        <v>USD</v>
      </c>
      <c r="E289" t="str">
        <f>"2010"</f>
        <v>2010</v>
      </c>
      <c r="F289" t="str">
        <f>"Hou"</f>
        <v>Hou</v>
      </c>
      <c r="G289" t="str">
        <f t="shared" si="26"/>
        <v>avanddanesh</v>
      </c>
    </row>
    <row r="290" spans="1:7" x14ac:dyDescent="0.25">
      <c r="A290" t="str">
        <f>"Biocatalysis and Biomolecular Engineering"</f>
        <v>Biocatalysis and Biomolecular Engineering</v>
      </c>
      <c r="B290" t="str">
        <f>"9780470487594"</f>
        <v>9780470487594</v>
      </c>
      <c r="C290">
        <v>65.2</v>
      </c>
      <c r="D290" t="str">
        <f t="shared" si="25"/>
        <v>USD</v>
      </c>
      <c r="E290" t="str">
        <f>"2010"</f>
        <v>2010</v>
      </c>
      <c r="F290" t="str">
        <f>"Hou"</f>
        <v>Hou</v>
      </c>
      <c r="G290" t="str">
        <f>"safirketab"</f>
        <v>safirketab</v>
      </c>
    </row>
    <row r="291" spans="1:7" x14ac:dyDescent="0.25">
      <c r="A291" t="str">
        <f>"Biocatalysis in Organic Synthesis : The Retrosynthesis Approach"</f>
        <v>Biocatalysis in Organic Synthesis : The Retrosynthesis Approach</v>
      </c>
      <c r="B291" t="str">
        <f>"9781782625308"</f>
        <v>9781782625308</v>
      </c>
      <c r="C291">
        <v>45</v>
      </c>
      <c r="D291" t="str">
        <f>"GBP"</f>
        <v>GBP</v>
      </c>
      <c r="E291" t="str">
        <f>"2018"</f>
        <v>2018</v>
      </c>
      <c r="F291" t="str">
        <f>"Nicholas J Turner,Lu"</f>
        <v>Nicholas J Turner,Lu</v>
      </c>
      <c r="G291" t="str">
        <f>"arzinbooks"</f>
        <v>arzinbooks</v>
      </c>
    </row>
    <row r="292" spans="1:7" x14ac:dyDescent="0.25">
      <c r="A292" t="str">
        <f>"Biochemical Engineering,2e: A Textbook for Engineers, Chemists and Biologists"</f>
        <v>Biochemical Engineering,2e: A Textbook for Engineers, Chemists and Biologists</v>
      </c>
      <c r="B292" t="str">
        <f>"9783527338047"</f>
        <v>9783527338047</v>
      </c>
      <c r="C292">
        <v>78.400000000000006</v>
      </c>
      <c r="D292" t="str">
        <f>"USD"</f>
        <v>USD</v>
      </c>
      <c r="E292" t="str">
        <f>"2015"</f>
        <v>2015</v>
      </c>
      <c r="F292" t="str">
        <f>"Katoh"</f>
        <v>Katoh</v>
      </c>
      <c r="G292" t="str">
        <f>"avanddanesh"</f>
        <v>avanddanesh</v>
      </c>
    </row>
    <row r="293" spans="1:7" x14ac:dyDescent="0.25">
      <c r="A293" t="str">
        <f>"Biochemical Evolution: The Pursuit of Perfection"</f>
        <v>Biochemical Evolution: The Pursuit of Perfection</v>
      </c>
      <c r="B293" t="str">
        <f>"9780815345527"</f>
        <v>9780815345527</v>
      </c>
      <c r="C293">
        <v>27</v>
      </c>
      <c r="D293" t="str">
        <f>"GBP"</f>
        <v>GBP</v>
      </c>
      <c r="E293" t="str">
        <f>"2017"</f>
        <v>2017</v>
      </c>
      <c r="F293" t="str">
        <f>"Athel Cornish-Bowde"</f>
        <v>Athel Cornish-Bowde</v>
      </c>
      <c r="G293" t="str">
        <f>"AsarBartar"</f>
        <v>AsarBartar</v>
      </c>
    </row>
    <row r="294" spans="1:7" x14ac:dyDescent="0.25">
      <c r="A294" t="str">
        <f>"Biochemical Techniques: Theory and Practice"</f>
        <v>Biochemical Techniques: Theory and Practice</v>
      </c>
      <c r="B294" t="str">
        <f>"9788123926605"</f>
        <v>9788123926605</v>
      </c>
      <c r="C294">
        <v>18</v>
      </c>
      <c r="D294" t="str">
        <f>"USD"</f>
        <v>USD</v>
      </c>
      <c r="E294" t="str">
        <f>"2015"</f>
        <v>2015</v>
      </c>
      <c r="F294" t="str">
        <f>"Robyt "</f>
        <v xml:space="preserve">Robyt </v>
      </c>
      <c r="G294" t="str">
        <f>"safirketab"</f>
        <v>safirketab</v>
      </c>
    </row>
    <row r="295" spans="1:7" x14ac:dyDescent="0.25">
      <c r="A295" t="str">
        <f>"Biochemical Techniques: Theory and Practice"</f>
        <v>Biochemical Techniques: Theory and Practice</v>
      </c>
      <c r="B295" t="str">
        <f>"9788123926605"</f>
        <v>9788123926605</v>
      </c>
      <c r="C295">
        <v>18</v>
      </c>
      <c r="D295" t="str">
        <f>"USD"</f>
        <v>USD</v>
      </c>
      <c r="E295" t="str">
        <f>"2015"</f>
        <v>2015</v>
      </c>
      <c r="F295" t="str">
        <f>"Robyt "</f>
        <v xml:space="preserve">Robyt </v>
      </c>
      <c r="G295" t="str">
        <f>"jahanadib"</f>
        <v>jahanadib</v>
      </c>
    </row>
    <row r="296" spans="1:7" x14ac:dyDescent="0.25">
      <c r="A296" t="str">
        <f>"Biochemistry"</f>
        <v>Biochemistry</v>
      </c>
      <c r="B296" t="str">
        <f>"9781907904288"</f>
        <v>9781907904288</v>
      </c>
      <c r="C296">
        <v>29.69</v>
      </c>
      <c r="D296" t="str">
        <f>"GBP"</f>
        <v>GBP</v>
      </c>
      <c r="E296" t="str">
        <f>"2016"</f>
        <v>2016</v>
      </c>
      <c r="F296" t="str">
        <f>"Terry Brown"</f>
        <v>Terry Brown</v>
      </c>
      <c r="G296" t="str">
        <f>"AsarBartar"</f>
        <v>AsarBartar</v>
      </c>
    </row>
    <row r="297" spans="1:7" x14ac:dyDescent="0.25">
      <c r="A297" t="str">
        <f>"Biochemistry by Stryer ; 8th Edition"</f>
        <v>Biochemistry by Stryer ; 8th Edition</v>
      </c>
      <c r="B297" t="str">
        <f>"9781464126109"</f>
        <v>9781464126109</v>
      </c>
      <c r="C297">
        <v>72</v>
      </c>
      <c r="D297" t="str">
        <f>"EUR"</f>
        <v>EUR</v>
      </c>
      <c r="E297" t="str">
        <f>"2015"</f>
        <v>2015</v>
      </c>
      <c r="F297" t="str">
        <f>"LUBERT STRYERÂ "</f>
        <v>LUBERT STRYERÂ </v>
      </c>
      <c r="G297" t="str">
        <f>"arzinbooks"</f>
        <v>arzinbooks</v>
      </c>
    </row>
    <row r="298" spans="1:7" x14ac:dyDescent="0.25">
      <c r="A298" t="str">
        <f>"Bioelectrochemistry of Biomembranes and Biomimetic Membranes"</f>
        <v>Bioelectrochemistry of Biomembranes and Biomimetic Membranes</v>
      </c>
      <c r="B298" t="str">
        <f>"9781119271055"</f>
        <v>9781119271055</v>
      </c>
      <c r="C298">
        <v>148.80000000000001</v>
      </c>
      <c r="D298" t="str">
        <f>"USD"</f>
        <v>USD</v>
      </c>
      <c r="E298" t="str">
        <f>"2016"</f>
        <v>2016</v>
      </c>
      <c r="F298" t="str">
        <f>"Guidelli"</f>
        <v>Guidelli</v>
      </c>
      <c r="G298" t="str">
        <f>"avanddanesh"</f>
        <v>avanddanesh</v>
      </c>
    </row>
    <row r="299" spans="1:7" x14ac:dyDescent="0.25">
      <c r="A299" t="str">
        <f>"Bioelectronics: From Theory to Applications"</f>
        <v>Bioelectronics: From Theory to Applications</v>
      </c>
      <c r="B299" t="str">
        <f>"9783527306909"</f>
        <v>9783527306909</v>
      </c>
      <c r="C299">
        <v>157.6</v>
      </c>
      <c r="D299" t="str">
        <f>"USD"</f>
        <v>USD</v>
      </c>
      <c r="E299" t="str">
        <f>"2005"</f>
        <v>2005</v>
      </c>
      <c r="F299" t="str">
        <f>"Willner"</f>
        <v>Willner</v>
      </c>
      <c r="G299" t="str">
        <f>"avanddanesh"</f>
        <v>avanddanesh</v>
      </c>
    </row>
    <row r="300" spans="1:7" x14ac:dyDescent="0.25">
      <c r="A300" t="str">
        <f>"Bioenergy: Part 1: Principles and Technologies (Green Alternative Energy Resources)"</f>
        <v>Bioenergy: Part 1: Principles and Technologies (Green Alternative Energy Resources)</v>
      </c>
      <c r="B300" t="str">
        <f>"9783110344196"</f>
        <v>9783110344196</v>
      </c>
      <c r="C300">
        <v>89.95</v>
      </c>
      <c r="D300" t="str">
        <f>"EUR"</f>
        <v>EUR</v>
      </c>
      <c r="E300" t="str">
        <f>"2017"</f>
        <v>2017</v>
      </c>
      <c r="F300" t="str">
        <f>"Zhenhong Yuan(Edito"</f>
        <v>Zhenhong Yuan(Edito</v>
      </c>
      <c r="G300" t="str">
        <f>"AsarBartar"</f>
        <v>AsarBartar</v>
      </c>
    </row>
    <row r="301" spans="1:7" x14ac:dyDescent="0.25">
      <c r="A301" t="str">
        <f>"Bioenergy: Part 2: Principles and Technologies (Green Alternative Energy Resources)"</f>
        <v>Bioenergy: Part 2: Principles and Technologies (Green Alternative Energy Resources)</v>
      </c>
      <c r="B301" t="str">
        <f>"9783110475517"</f>
        <v>9783110475517</v>
      </c>
      <c r="C301">
        <v>89.95</v>
      </c>
      <c r="D301" t="str">
        <f>"EUR"</f>
        <v>EUR</v>
      </c>
      <c r="E301" t="str">
        <f>"2018"</f>
        <v>2018</v>
      </c>
      <c r="F301" t="str">
        <f>"Zhenhong Yuan(Edito"</f>
        <v>Zhenhong Yuan(Edito</v>
      </c>
      <c r="G301" t="str">
        <f>"AsarBartar"</f>
        <v>AsarBartar</v>
      </c>
    </row>
    <row r="302" spans="1:7" x14ac:dyDescent="0.25">
      <c r="A302" t="str">
        <f>"Biofuels from Lignocellulosic Biomass: Innovations beyond Bioethanol"</f>
        <v>Biofuels from Lignocellulosic Biomass: Innovations beyond Bioethanol</v>
      </c>
      <c r="B302" t="str">
        <f>"9783527338139"</f>
        <v>9783527338139</v>
      </c>
      <c r="C302">
        <v>148.80000000000001</v>
      </c>
      <c r="D302" t="str">
        <f t="shared" ref="D302:D310" si="27">"USD"</f>
        <v>USD</v>
      </c>
      <c r="E302" t="str">
        <f>"2016"</f>
        <v>2016</v>
      </c>
      <c r="F302" t="str">
        <f>"Boot"</f>
        <v>Boot</v>
      </c>
      <c r="G302" t="str">
        <f>"avanddanesh"</f>
        <v>avanddanesh</v>
      </c>
    </row>
    <row r="303" spans="1:7" x14ac:dyDescent="0.25">
      <c r="A303" t="str">
        <f>"BIOINFORMATICS : Applications In Life And Environmental, HB"</f>
        <v>BIOINFORMATICS : Applications In Life And Environmental, HB</v>
      </c>
      <c r="B303" t="str">
        <f>"9788185589640"</f>
        <v>9788185589640</v>
      </c>
      <c r="C303">
        <v>18.2</v>
      </c>
      <c r="D303" t="str">
        <f t="shared" si="27"/>
        <v>USD</v>
      </c>
      <c r="E303" t="str">
        <f>"2009"</f>
        <v>2009</v>
      </c>
      <c r="F303" t="str">
        <f>"Fulekar"</f>
        <v>Fulekar</v>
      </c>
      <c r="G303" t="str">
        <f>"supply"</f>
        <v>supply</v>
      </c>
    </row>
    <row r="304" spans="1:7" x14ac:dyDescent="0.25">
      <c r="A304" t="str">
        <f>"Bioinorganic Photochemistry"</f>
        <v>Bioinorganic Photochemistry</v>
      </c>
      <c r="B304" t="str">
        <f>"9781405161725"</f>
        <v>9781405161725</v>
      </c>
      <c r="C304">
        <v>126</v>
      </c>
      <c r="D304" t="str">
        <f t="shared" si="27"/>
        <v>USD</v>
      </c>
      <c r="E304" t="str">
        <f>"2009"</f>
        <v>2009</v>
      </c>
      <c r="F304" t="str">
        <f>"Stochel"</f>
        <v>Stochel</v>
      </c>
      <c r="G304" t="str">
        <f>"safirketab"</f>
        <v>safirketab</v>
      </c>
    </row>
    <row r="305" spans="1:7" x14ac:dyDescent="0.25">
      <c r="A305" t="str">
        <f>"Bioinspired Catalysis: Metal-Sulfur Complexes"</f>
        <v>Bioinspired Catalysis: Metal-Sulfur Complexes</v>
      </c>
      <c r="B305" t="str">
        <f>"9783527333080"</f>
        <v>9783527333080</v>
      </c>
      <c r="C305">
        <v>159</v>
      </c>
      <c r="D305" t="str">
        <f t="shared" si="27"/>
        <v>USD</v>
      </c>
      <c r="E305" t="str">
        <f>"2014"</f>
        <v>2014</v>
      </c>
      <c r="F305" t="str">
        <f>"Weigand"</f>
        <v>Weigand</v>
      </c>
      <c r="G305" t="str">
        <f>"avanddanesh"</f>
        <v>avanddanesh</v>
      </c>
    </row>
    <row r="306" spans="1:7" x14ac:dyDescent="0.25">
      <c r="A306" t="str">
        <f>"Biointerface Characterization by Advanced IR Spectroscopy"</f>
        <v>Biointerface Characterization by Advanced IR Spectroscopy</v>
      </c>
      <c r="B306" t="str">
        <f>"9780444638427"</f>
        <v>9780444638427</v>
      </c>
      <c r="C306">
        <v>139.5</v>
      </c>
      <c r="D306" t="str">
        <f t="shared" si="27"/>
        <v>USD</v>
      </c>
      <c r="E306" t="str">
        <f>"2017"</f>
        <v>2017</v>
      </c>
      <c r="F306" t="str">
        <f>"Pradier and Chabal"</f>
        <v>Pradier and Chabal</v>
      </c>
      <c r="G306" t="str">
        <f>"dehkadehketab"</f>
        <v>dehkadehketab</v>
      </c>
    </row>
    <row r="307" spans="1:7" x14ac:dyDescent="0.25">
      <c r="A307" t="str">
        <f>"Biological Applications of Microfluidics"</f>
        <v>Biological Applications of Microfluidics</v>
      </c>
      <c r="B307" t="str">
        <f>"9780470074831"</f>
        <v>9780470074831</v>
      </c>
      <c r="C307">
        <v>78</v>
      </c>
      <c r="D307" t="str">
        <f t="shared" si="27"/>
        <v>USD</v>
      </c>
      <c r="E307" t="str">
        <f>"2008"</f>
        <v>2008</v>
      </c>
      <c r="F307" t="str">
        <f>"Gomez"</f>
        <v>Gomez</v>
      </c>
      <c r="G307" t="str">
        <f>"safirketab"</f>
        <v>safirketab</v>
      </c>
    </row>
    <row r="308" spans="1:7" x14ac:dyDescent="0.25">
      <c r="A308" t="str">
        <f>"Biological Chemistry of Arsenic, Antimony and Bismuth"</f>
        <v>Biological Chemistry of Arsenic, Antimony and Bismuth</v>
      </c>
      <c r="B308" t="str">
        <f>"9780470713907"</f>
        <v>9780470713907</v>
      </c>
      <c r="C308">
        <v>62</v>
      </c>
      <c r="D308" t="str">
        <f t="shared" si="27"/>
        <v>USD</v>
      </c>
      <c r="E308" t="str">
        <f>"2010"</f>
        <v>2010</v>
      </c>
      <c r="F308" t="str">
        <f>"Sun"</f>
        <v>Sun</v>
      </c>
      <c r="G308" t="str">
        <f>"safirketab"</f>
        <v>safirketab</v>
      </c>
    </row>
    <row r="309" spans="1:7" x14ac:dyDescent="0.25">
      <c r="A309" t="str">
        <f>"Biological Chemistry of Arsenic, Antimony and Bismuth"</f>
        <v>Biological Chemistry of Arsenic, Antimony and Bismuth</v>
      </c>
      <c r="B309" t="str">
        <f>"9780470713907"</f>
        <v>9780470713907</v>
      </c>
      <c r="C309">
        <v>62</v>
      </c>
      <c r="D309" t="str">
        <f t="shared" si="27"/>
        <v>USD</v>
      </c>
      <c r="E309" t="str">
        <f>"2010"</f>
        <v>2010</v>
      </c>
      <c r="F309" t="str">
        <f>"Sun"</f>
        <v>Sun</v>
      </c>
      <c r="G309" t="str">
        <f>"avanddanesh"</f>
        <v>avanddanesh</v>
      </c>
    </row>
    <row r="310" spans="1:7" x14ac:dyDescent="0.25">
      <c r="A310" t="str">
        <f>"Biological Inorganic Chemistry, A New Introduction to Molecular Structure and Function, 3rd Edition"</f>
        <v>Biological Inorganic Chemistry, A New Introduction to Molecular Structure and Function, 3rd Edition</v>
      </c>
      <c r="B310" t="str">
        <f>"9780128117385"</f>
        <v>9780128117385</v>
      </c>
      <c r="C310">
        <v>112.5</v>
      </c>
      <c r="D310" t="str">
        <f t="shared" si="27"/>
        <v>USD</v>
      </c>
      <c r="E310" t="str">
        <f>"2018"</f>
        <v>2018</v>
      </c>
      <c r="F310" t="str">
        <f>"Crichton"</f>
        <v>Crichton</v>
      </c>
      <c r="G310" t="str">
        <f>"dehkadehketab"</f>
        <v>dehkadehketab</v>
      </c>
    </row>
    <row r="311" spans="1:7" x14ac:dyDescent="0.25">
      <c r="A311" t="str">
        <f>"BIOLOGICALLY INSPIRED OPTIMIZATION METHODS : An Introduction, HB"</f>
        <v>BIOLOGICALLY INSPIRED OPTIMIZATION METHODS : An Introduction, HB</v>
      </c>
      <c r="B311" t="str">
        <f>"9781845641481"</f>
        <v>9781845641481</v>
      </c>
      <c r="C311">
        <v>60.2</v>
      </c>
      <c r="D311" t="str">
        <f>"GBP"</f>
        <v>GBP</v>
      </c>
      <c r="E311" t="str">
        <f>"2008"</f>
        <v>2008</v>
      </c>
      <c r="F311" t="str">
        <f>"Wahde"</f>
        <v>Wahde</v>
      </c>
      <c r="G311" t="str">
        <f>"supply"</f>
        <v>supply</v>
      </c>
    </row>
    <row r="312" spans="1:7" x14ac:dyDescent="0.25">
      <c r="A312" t="str">
        <f>"Biolubricants, Science and Technology"</f>
        <v>Biolubricants, Science and Technology</v>
      </c>
      <c r="B312" t="str">
        <f>"9780081016060"</f>
        <v>9780081016060</v>
      </c>
      <c r="C312">
        <v>310.5</v>
      </c>
      <c r="D312" t="str">
        <f>"USD"</f>
        <v>USD</v>
      </c>
      <c r="E312" t="str">
        <f>"2017"</f>
        <v>2017</v>
      </c>
      <c r="F312" t="str">
        <f>"Bart et al"</f>
        <v>Bart et al</v>
      </c>
      <c r="G312" t="str">
        <f>"dehkadehketab"</f>
        <v>dehkadehketab</v>
      </c>
    </row>
    <row r="313" spans="1:7" x14ac:dyDescent="0.25">
      <c r="A313" t="str">
        <f>"Biomarker Validation: Technological, Clinical and Commercial Aspects"</f>
        <v>Biomarker Validation: Technological, Clinical and Commercial Aspects</v>
      </c>
      <c r="B313" t="str">
        <f>"9783527337194"</f>
        <v>9783527337194</v>
      </c>
      <c r="C313">
        <v>132</v>
      </c>
      <c r="D313" t="str">
        <f>"USD"</f>
        <v>USD</v>
      </c>
      <c r="E313" t="str">
        <f>"2015"</f>
        <v>2015</v>
      </c>
      <c r="F313" t="str">
        <f>"Seitz"</f>
        <v>Seitz</v>
      </c>
      <c r="G313" t="str">
        <f>"avanddanesh"</f>
        <v>avanddanesh</v>
      </c>
    </row>
    <row r="314" spans="1:7" x14ac:dyDescent="0.25">
      <c r="A314" t="str">
        <f>"Biomarkers and Biosensors, Detection and Binding to Biosensor Surfaces and Biomarkers Applications"</f>
        <v>Biomarkers and Biosensors, Detection and Binding to Biosensor Surfaces and Biomarkers Applications</v>
      </c>
      <c r="B314" t="str">
        <f>"9780444638373"</f>
        <v>9780444638373</v>
      </c>
      <c r="C314">
        <v>157.5</v>
      </c>
      <c r="D314" t="str">
        <f>"USD"</f>
        <v>USD</v>
      </c>
      <c r="E314" t="str">
        <f>"2017"</f>
        <v>2017</v>
      </c>
      <c r="F314" t="str">
        <f>"Sadana and Sadana"</f>
        <v>Sadana and Sadana</v>
      </c>
      <c r="G314" t="str">
        <f>"dehkadehketab"</f>
        <v>dehkadehketab</v>
      </c>
    </row>
    <row r="315" spans="1:7" x14ac:dyDescent="0.25">
      <c r="A315" t="str">
        <f>"Biomass and Green Chemistry: Building a Renewable Pathway "</f>
        <v xml:space="preserve">Biomass and Green Chemistry: Building a Renewable Pathway </v>
      </c>
      <c r="B315" t="str">
        <f>"9783319667355"</f>
        <v>9783319667355</v>
      </c>
      <c r="C315">
        <v>107.99</v>
      </c>
      <c r="D315" t="str">
        <f>"EUR"</f>
        <v>EUR</v>
      </c>
      <c r="E315" t="str">
        <f>"2018"</f>
        <v>2018</v>
      </c>
      <c r="F315" t="str">
        <f>"Vaz Jr."</f>
        <v>Vaz Jr.</v>
      </c>
      <c r="G315" t="str">
        <f>"negarestanabi"</f>
        <v>negarestanabi</v>
      </c>
    </row>
    <row r="316" spans="1:7" x14ac:dyDescent="0.25">
      <c r="A316" t="str">
        <f>"Biomedical Mass Transport and Chemical Reaction: Physicochemical Principles and Mathematical Modeling"</f>
        <v>Biomedical Mass Transport and Chemical Reaction: Physicochemical Principles and Mathematical Modeling</v>
      </c>
      <c r="B316" t="str">
        <f>"9780471656326"</f>
        <v>9780471656326</v>
      </c>
      <c r="C316">
        <v>127.5</v>
      </c>
      <c r="D316" t="str">
        <f>"USD"</f>
        <v>USD</v>
      </c>
      <c r="E316" t="str">
        <f>"2016"</f>
        <v>2016</v>
      </c>
      <c r="F316" t="str">
        <f>"Ultman"</f>
        <v>Ultman</v>
      </c>
      <c r="G316" t="str">
        <f>"avanddanesh"</f>
        <v>avanddanesh</v>
      </c>
    </row>
    <row r="317" spans="1:7" x14ac:dyDescent="0.25">
      <c r="A317" t="str">
        <f>"Biomimetic Organic Synthesis, 2V Set"</f>
        <v>Biomimetic Organic Synthesis, 2V Set</v>
      </c>
      <c r="B317" t="str">
        <f>"9783527325801"</f>
        <v>9783527325801</v>
      </c>
      <c r="C317">
        <v>204</v>
      </c>
      <c r="D317" t="str">
        <f>"USD"</f>
        <v>USD</v>
      </c>
      <c r="E317" t="str">
        <f>"2011"</f>
        <v>2011</v>
      </c>
      <c r="F317" t="str">
        <f>"Poupon"</f>
        <v>Poupon</v>
      </c>
      <c r="G317" t="str">
        <f>"avanddanesh"</f>
        <v>avanddanesh</v>
      </c>
    </row>
    <row r="318" spans="1:7" x14ac:dyDescent="0.25">
      <c r="A318" t="str">
        <f>"Biomimetics Through Nanoelectronics: Development of Three Dimensional Macroporous Nanoelectronics for Building Smart Materials. Cyborg Tissues and Injectable Biomedical Electronics"</f>
        <v>Biomimetics Through Nanoelectronics: Development of Three Dimensional Macroporous Nanoelectronics for Building Smart Materials. Cyborg Tissues and Injectable Biomedical Electronics</v>
      </c>
      <c r="B318" t="str">
        <f>"9783319686080"</f>
        <v>9783319686080</v>
      </c>
      <c r="C318">
        <v>89.99</v>
      </c>
      <c r="D318" t="str">
        <f>"EUR"</f>
        <v>EUR</v>
      </c>
      <c r="E318" t="str">
        <f>"2018"</f>
        <v>2018</v>
      </c>
      <c r="F318" t="str">
        <f>"Liu"</f>
        <v>Liu</v>
      </c>
      <c r="G318" t="str">
        <f>"negarestanabi"</f>
        <v>negarestanabi</v>
      </c>
    </row>
    <row r="319" spans="1:7" x14ac:dyDescent="0.25">
      <c r="A319" t="str">
        <f>"Biomineralization: From Nature to Application"</f>
        <v>Biomineralization: From Nature to Application</v>
      </c>
      <c r="B319" t="str">
        <f>"9780470035252"</f>
        <v>9780470035252</v>
      </c>
      <c r="C319">
        <v>276</v>
      </c>
      <c r="D319" t="str">
        <f>"USD"</f>
        <v>USD</v>
      </c>
      <c r="E319" t="str">
        <f>"2008"</f>
        <v>2008</v>
      </c>
      <c r="F319" t="str">
        <f>"Sigel"</f>
        <v>Sigel</v>
      </c>
      <c r="G319" t="str">
        <f>"safirketab"</f>
        <v>safirketab</v>
      </c>
    </row>
    <row r="320" spans="1:7" x14ac:dyDescent="0.25">
      <c r="A320" t="str">
        <f>"Biomineralization: Medical Aspects of Solubility"</f>
        <v>Biomineralization: Medical Aspects of Solubility</v>
      </c>
      <c r="B320" t="str">
        <f>"9780470092095"</f>
        <v>9780470092095</v>
      </c>
      <c r="C320">
        <v>98</v>
      </c>
      <c r="D320" t="str">
        <f>"USD"</f>
        <v>USD</v>
      </c>
      <c r="E320" t="str">
        <f>"2006"</f>
        <v>2006</v>
      </c>
      <c r="F320" t="str">
        <f>"Konigsberger"</f>
        <v>Konigsberger</v>
      </c>
      <c r="G320" t="str">
        <f>"avanddanesh"</f>
        <v>avanddanesh</v>
      </c>
    </row>
    <row r="321" spans="1:7" x14ac:dyDescent="0.25">
      <c r="A321" t="str">
        <f>"Biomineralization:Medical Aspects of Solubility"</f>
        <v>Biomineralization:Medical Aspects of Solubility</v>
      </c>
      <c r="B321" t="str">
        <f>"9780470092095"</f>
        <v>9780470092095</v>
      </c>
      <c r="C321">
        <v>98</v>
      </c>
      <c r="D321" t="str">
        <f>"USD"</f>
        <v>USD</v>
      </c>
      <c r="E321" t="str">
        <f>"2006"</f>
        <v>2006</v>
      </c>
      <c r="F321" t="str">
        <f>"Konigsberger"</f>
        <v>Konigsberger</v>
      </c>
      <c r="G321" t="str">
        <f>"safirketab"</f>
        <v>safirketab</v>
      </c>
    </row>
    <row r="322" spans="1:7" x14ac:dyDescent="0.25">
      <c r="A322" t="str">
        <f>"BIOMOLECULAR EPR SPECTROSCOPY"</f>
        <v>BIOMOLECULAR EPR SPECTROSCOPY</v>
      </c>
      <c r="B322" t="str">
        <f>"9781420059571"</f>
        <v>9781420059571</v>
      </c>
      <c r="C322">
        <v>28.8</v>
      </c>
      <c r="D322" t="str">
        <f>"GBP"</f>
        <v>GBP</v>
      </c>
      <c r="E322" t="str">
        <f>"2009"</f>
        <v>2009</v>
      </c>
      <c r="F322" t="str">
        <f>"WILFRED RAYMOND HAG"</f>
        <v>WILFRED RAYMOND HAG</v>
      </c>
      <c r="G322" t="str">
        <f>"AsarBartar"</f>
        <v>AsarBartar</v>
      </c>
    </row>
    <row r="323" spans="1:7" x14ac:dyDescent="0.25">
      <c r="A323" t="str">
        <f>"Biomolecular Information Processing"</f>
        <v>Biomolecular Information Processing</v>
      </c>
      <c r="B323" t="str">
        <f>"9783527332281"</f>
        <v>9783527332281</v>
      </c>
      <c r="C323">
        <v>111.6</v>
      </c>
      <c r="D323" t="str">
        <f t="shared" ref="D323:D332" si="28">"USD"</f>
        <v>USD</v>
      </c>
      <c r="E323" t="str">
        <f>"2012"</f>
        <v>2012</v>
      </c>
      <c r="F323" t="str">
        <f>"Katz"</f>
        <v>Katz</v>
      </c>
      <c r="G323" t="str">
        <f>"avanddanesh"</f>
        <v>avanddanesh</v>
      </c>
    </row>
    <row r="324" spans="1:7" x14ac:dyDescent="0.25">
      <c r="A324" t="str">
        <f>"Biomonitoring Methods, Part IV, V10"</f>
        <v>Biomonitoring Methods, Part IV, V10</v>
      </c>
      <c r="B324" t="str">
        <f>"9783527311378"</f>
        <v>9783527311378</v>
      </c>
      <c r="C324">
        <v>126</v>
      </c>
      <c r="D324" t="str">
        <f t="shared" si="28"/>
        <v>USD</v>
      </c>
      <c r="E324" t="str">
        <f>"2006"</f>
        <v>2006</v>
      </c>
      <c r="F324" t="str">
        <f>"Analytical Chemistry"</f>
        <v>Analytical Chemistry</v>
      </c>
      <c r="G324" t="str">
        <f>"safirketab"</f>
        <v>safirketab</v>
      </c>
    </row>
    <row r="325" spans="1:7" x14ac:dyDescent="0.25">
      <c r="A325" t="str">
        <f>"Biomonitoring Methods, Part IV, V11"</f>
        <v>Biomonitoring Methods, Part IV, V11</v>
      </c>
      <c r="B325" t="str">
        <f>"9783527315963"</f>
        <v>9783527315963</v>
      </c>
      <c r="C325">
        <v>159</v>
      </c>
      <c r="D325" t="str">
        <f t="shared" si="28"/>
        <v>USD</v>
      </c>
      <c r="E325" t="str">
        <f>"2008"</f>
        <v>2008</v>
      </c>
      <c r="F325" t="str">
        <f>"Angerer"</f>
        <v>Angerer</v>
      </c>
      <c r="G325" t="str">
        <f>"safirketab"</f>
        <v>safirketab</v>
      </c>
    </row>
    <row r="326" spans="1:7" x14ac:dyDescent="0.25">
      <c r="A326" t="str">
        <f>"Bionanocomposites: Integrating Biological Processes for Bioinspired Nanotechnologies"</f>
        <v>Bionanocomposites: Integrating Biological Processes for Bioinspired Nanotechnologies</v>
      </c>
      <c r="B326" t="str">
        <f>"9781118942222"</f>
        <v>9781118942222</v>
      </c>
      <c r="C326">
        <v>157.5</v>
      </c>
      <c r="D326" t="str">
        <f t="shared" si="28"/>
        <v>USD</v>
      </c>
      <c r="E326" t="str">
        <f>"2017"</f>
        <v>2017</v>
      </c>
      <c r="F326" t="str">
        <f>"AimÃ©"</f>
        <v>AimÃ©</v>
      </c>
      <c r="G326" t="str">
        <f>"avanddanesh"</f>
        <v>avanddanesh</v>
      </c>
    </row>
    <row r="327" spans="1:7" x14ac:dyDescent="0.25">
      <c r="A327" t="str">
        <f>"Bioorganic and Medicinal Chemistry of Fluorine"</f>
        <v>Bioorganic and Medicinal Chemistry of Fluorine</v>
      </c>
      <c r="B327" t="str">
        <f>"9780470278307"</f>
        <v>9780470278307</v>
      </c>
      <c r="C327">
        <v>62</v>
      </c>
      <c r="D327" t="str">
        <f t="shared" si="28"/>
        <v>USD</v>
      </c>
      <c r="E327" t="str">
        <f>"2008"</f>
        <v>2008</v>
      </c>
      <c r="F327" t="str">
        <f>"BÃ©guÃ©"</f>
        <v>BÃ©guÃ©</v>
      </c>
      <c r="G327" t="str">
        <f>"avanddanesh"</f>
        <v>avanddanesh</v>
      </c>
    </row>
    <row r="328" spans="1:7" x14ac:dyDescent="0.25">
      <c r="A328" t="str">
        <f>"Bioorganometallic Chemistry: Applications in Drug Discovery, Biocatalysis, and Imaging"</f>
        <v>Bioorganometallic Chemistry: Applications in Drug Discovery, Biocatalysis, and Imaging</v>
      </c>
      <c r="B328" t="str">
        <f>"9783527335275"</f>
        <v>9783527335275</v>
      </c>
      <c r="C328">
        <v>156.80000000000001</v>
      </c>
      <c r="D328" t="str">
        <f t="shared" si="28"/>
        <v>USD</v>
      </c>
      <c r="E328" t="str">
        <f>"2015"</f>
        <v>2015</v>
      </c>
      <c r="F328" t="str">
        <f>"Jaouen"</f>
        <v>Jaouen</v>
      </c>
      <c r="G328" t="str">
        <f>"avanddanesh"</f>
        <v>avanddanesh</v>
      </c>
    </row>
    <row r="329" spans="1:7" x14ac:dyDescent="0.25">
      <c r="A329" t="str">
        <f>"Biophysical Chemistry of Biointerfaces"</f>
        <v>Biophysical Chemistry of Biointerfaces</v>
      </c>
      <c r="B329" t="str">
        <f>"9780470169353"</f>
        <v>9780470169353</v>
      </c>
      <c r="C329">
        <v>65.2</v>
      </c>
      <c r="D329" t="str">
        <f t="shared" si="28"/>
        <v>USD</v>
      </c>
      <c r="E329" t="str">
        <f>"2010"</f>
        <v>2010</v>
      </c>
      <c r="F329" t="str">
        <f>"Ohshima"</f>
        <v>Ohshima</v>
      </c>
      <c r="G329" t="str">
        <f>"safirketab"</f>
        <v>safirketab</v>
      </c>
    </row>
    <row r="330" spans="1:7" x14ac:dyDescent="0.25">
      <c r="A330" t="str">
        <f>"Biophysical Chemistry of Biointerfaces"</f>
        <v>Biophysical Chemistry of Biointerfaces</v>
      </c>
      <c r="B330" t="str">
        <f>"9780470169353"</f>
        <v>9780470169353</v>
      </c>
      <c r="C330">
        <v>65.2</v>
      </c>
      <c r="D330" t="str">
        <f t="shared" si="28"/>
        <v>USD</v>
      </c>
      <c r="E330" t="str">
        <f>"2010"</f>
        <v>2010</v>
      </c>
      <c r="F330" t="str">
        <f>"Ohshima"</f>
        <v>Ohshima</v>
      </c>
      <c r="G330" t="str">
        <f>"avanddanesh"</f>
        <v>avanddanesh</v>
      </c>
    </row>
    <row r="331" spans="1:7" x14ac:dyDescent="0.25">
      <c r="A331" t="str">
        <f>"Bioprocess Engineering, An Introductory Engineering and Life Science Approach"</f>
        <v>Bioprocess Engineering, An Introductory Engineering and Life Science Approach</v>
      </c>
      <c r="B331" t="str">
        <f>"9780081015667"</f>
        <v>9780081015667</v>
      </c>
      <c r="C331">
        <v>180</v>
      </c>
      <c r="D331" t="str">
        <f t="shared" si="28"/>
        <v>USD</v>
      </c>
      <c r="E331" t="str">
        <f>"2017"</f>
        <v>2017</v>
      </c>
      <c r="F331" t="str">
        <f>"Clarke"</f>
        <v>Clarke</v>
      </c>
      <c r="G331" t="str">
        <f>"dehkadehketab"</f>
        <v>dehkadehketab</v>
      </c>
    </row>
    <row r="332" spans="1:7" x14ac:dyDescent="0.25">
      <c r="A332" t="str">
        <f>"Bioprocessing of Renewable Resources to Commodity Bioproducts"</f>
        <v>Bioprocessing of Renewable Resources to Commodity Bioproducts</v>
      </c>
      <c r="B332" t="str">
        <f>"9781118175835"</f>
        <v>9781118175835</v>
      </c>
      <c r="C332">
        <v>108.7</v>
      </c>
      <c r="D332" t="str">
        <f t="shared" si="28"/>
        <v>USD</v>
      </c>
      <c r="E332" t="str">
        <f>"2014"</f>
        <v>2014</v>
      </c>
      <c r="F332" t="str">
        <f>"Bisaria"</f>
        <v>Bisaria</v>
      </c>
      <c r="G332" t="str">
        <f>"avanddanesh"</f>
        <v>avanddanesh</v>
      </c>
    </row>
    <row r="333" spans="1:7" x14ac:dyDescent="0.25">
      <c r="A333" t="str">
        <f>"Biorefineries (De Gruyter Textbook)"</f>
        <v>Biorefineries (De Gruyter Textbook)</v>
      </c>
      <c r="B333" t="str">
        <f>"9783110331530"</f>
        <v>9783110331530</v>
      </c>
      <c r="C333">
        <v>59.5</v>
      </c>
      <c r="D333" t="str">
        <f>"EUR"</f>
        <v>EUR</v>
      </c>
      <c r="E333" t="str">
        <f>"2015"</f>
        <v>2015</v>
      </c>
      <c r="F333" t="str">
        <f>"Michele Aresta,Ange"</f>
        <v>Michele Aresta,Ange</v>
      </c>
      <c r="G333" t="str">
        <f>"AsarBartar"</f>
        <v>AsarBartar</v>
      </c>
    </row>
    <row r="334" spans="1:7" x14ac:dyDescent="0.25">
      <c r="A334" t="str">
        <f>"Biorefineries and Chemical Processes: Design, Integration and Sustainability Analysis"</f>
        <v>Biorefineries and Chemical Processes: Design, Integration and Sustainability Analysis</v>
      </c>
      <c r="B334" t="str">
        <f>"9781119990864"</f>
        <v>9781119990864</v>
      </c>
      <c r="C334">
        <v>75</v>
      </c>
      <c r="D334" t="str">
        <f>"USD"</f>
        <v>USD</v>
      </c>
      <c r="E334" t="str">
        <f>"2014"</f>
        <v>2014</v>
      </c>
      <c r="F334" t="str">
        <f>"Sadhukhan"</f>
        <v>Sadhukhan</v>
      </c>
      <c r="G334" t="str">
        <f>"avanddanesh"</f>
        <v>avanddanesh</v>
      </c>
    </row>
    <row r="335" spans="1:7" x14ac:dyDescent="0.25">
      <c r="A335" t="str">
        <f>"Biorefineries, Integrated Biochemical Processes for Liquid Biofuels"</f>
        <v>Biorefineries, Integrated Biochemical Processes for Liquid Biofuels</v>
      </c>
      <c r="B335" t="str">
        <f>"9780444638090"</f>
        <v>9780444638090</v>
      </c>
      <c r="C335">
        <v>166.5</v>
      </c>
      <c r="D335" t="str">
        <f>"USD"</f>
        <v>USD</v>
      </c>
      <c r="E335" t="str">
        <f>"2017"</f>
        <v>2017</v>
      </c>
      <c r="F335" t="str">
        <f>"Qureshi et al"</f>
        <v>Qureshi et al</v>
      </c>
      <c r="G335" t="str">
        <f>"dehkadehketab"</f>
        <v>dehkadehketab</v>
      </c>
    </row>
    <row r="336" spans="1:7" x14ac:dyDescent="0.25">
      <c r="A336" t="str">
        <f>"Biorefinery Co-Products: Phytochemicals, Primary Metabolites and Value-Added Biomass Processing"</f>
        <v>Biorefinery Co-Products: Phytochemicals, Primary Metabolites and Value-Added Biomass Processing</v>
      </c>
      <c r="B336" t="str">
        <f>"9780470973578"</f>
        <v>9780470973578</v>
      </c>
      <c r="C336">
        <v>75</v>
      </c>
      <c r="D336" t="str">
        <f>"USD"</f>
        <v>USD</v>
      </c>
      <c r="E336" t="str">
        <f>"2012"</f>
        <v>2012</v>
      </c>
      <c r="F336" t="str">
        <f>"Bergeron"</f>
        <v>Bergeron</v>
      </c>
      <c r="G336" t="str">
        <f>"avanddanesh"</f>
        <v>avanddanesh</v>
      </c>
    </row>
    <row r="337" spans="1:7" x14ac:dyDescent="0.25">
      <c r="A337" t="str">
        <f>"Bioresources ; 5 Volumes Set"</f>
        <v>Bioresources ; 5 Volumes Set</v>
      </c>
      <c r="B337" t="str">
        <f>"9781782620983"</f>
        <v>9781782620983</v>
      </c>
      <c r="C337">
        <v>346.5</v>
      </c>
      <c r="D337" t="str">
        <f>"GBP"</f>
        <v>GBP</v>
      </c>
      <c r="E337" t="str">
        <f>"2014"</f>
        <v>2014</v>
      </c>
      <c r="F337" t="str">
        <f>"Royal Society of Che"</f>
        <v>Royal Society of Che</v>
      </c>
      <c r="G337" t="str">
        <f>"arzinbooks"</f>
        <v>arzinbooks</v>
      </c>
    </row>
    <row r="338" spans="1:7" x14ac:dyDescent="0.25">
      <c r="A338" t="str">
        <f>"Biosensors Based on Sandwich Assays"</f>
        <v>Biosensors Based on Sandwich Assays</v>
      </c>
      <c r="B338" t="str">
        <f>"9789811078347"</f>
        <v>9789811078347</v>
      </c>
      <c r="C338">
        <v>78.290000000000006</v>
      </c>
      <c r="D338" t="str">
        <f>"EUR"</f>
        <v>EUR</v>
      </c>
      <c r="E338" t="str">
        <f>"2018"</f>
        <v>2018</v>
      </c>
      <c r="F338" t="str">
        <f>"Xia"</f>
        <v>Xia</v>
      </c>
      <c r="G338" t="str">
        <f>"negarestanabi"</f>
        <v>negarestanabi</v>
      </c>
    </row>
    <row r="339" spans="1:7" x14ac:dyDescent="0.25">
      <c r="A339" t="str">
        <f>"Biosimulation in Drug Development"</f>
        <v>Biosimulation in Drug Development</v>
      </c>
      <c r="B339" t="str">
        <f>"9783527316991"</f>
        <v>9783527316991</v>
      </c>
      <c r="C339">
        <v>115.2</v>
      </c>
      <c r="D339" t="str">
        <f>"USD"</f>
        <v>USD</v>
      </c>
      <c r="E339" t="str">
        <f>"2007"</f>
        <v>2007</v>
      </c>
      <c r="F339" t="str">
        <f>"Bertau"</f>
        <v>Bertau</v>
      </c>
      <c r="G339" t="str">
        <f>"safirketab"</f>
        <v>safirketab</v>
      </c>
    </row>
    <row r="340" spans="1:7" x14ac:dyDescent="0.25">
      <c r="A340" t="str">
        <f>"Biosurfaces: A Materials Science and Engineering Perspective"</f>
        <v>Biosurfaces: A Materials Science and Engineering Perspective</v>
      </c>
      <c r="B340" t="str">
        <f>"9781118299975"</f>
        <v>9781118299975</v>
      </c>
      <c r="C340">
        <v>124</v>
      </c>
      <c r="D340" t="str">
        <f>"USD"</f>
        <v>USD</v>
      </c>
      <c r="E340" t="str">
        <f>"2015"</f>
        <v>2015</v>
      </c>
      <c r="F340" t="str">
        <f>"Balani"</f>
        <v>Balani</v>
      </c>
      <c r="G340" t="str">
        <f>"avanddanesh"</f>
        <v>avanddanesh</v>
      </c>
    </row>
    <row r="341" spans="1:7" x14ac:dyDescent="0.25">
      <c r="A341" t="str">
        <f>"Biosynthesis of Heterocycles: From Isolation to Gene Cluster"</f>
        <v>Biosynthesis of Heterocycles: From Isolation to Gene Cluster</v>
      </c>
      <c r="B341" t="str">
        <f>"9781118028674"</f>
        <v>9781118028674</v>
      </c>
      <c r="C341">
        <v>160.80000000000001</v>
      </c>
      <c r="D341" t="str">
        <f>"USD"</f>
        <v>USD</v>
      </c>
      <c r="E341" t="str">
        <f>"2015"</f>
        <v>2015</v>
      </c>
      <c r="F341" t="str">
        <f>"Diana"</f>
        <v>Diana</v>
      </c>
      <c r="G341" t="str">
        <f>"avanddanesh"</f>
        <v>avanddanesh</v>
      </c>
    </row>
    <row r="342" spans="1:7" x14ac:dyDescent="0.25">
      <c r="A342" t="str">
        <f>"Biotechnological Applications of Biodiversity"</f>
        <v>Biotechnological Applications of Biodiversity</v>
      </c>
      <c r="B342" t="str">
        <f>"9783662450963"</f>
        <v>9783662450963</v>
      </c>
      <c r="C342">
        <v>224.99</v>
      </c>
      <c r="D342" t="str">
        <f>"EUR"</f>
        <v>EUR</v>
      </c>
      <c r="E342" t="str">
        <f>"2015"</f>
        <v>2015</v>
      </c>
      <c r="F342" t="str">
        <f>"Mukherjee"</f>
        <v>Mukherjee</v>
      </c>
      <c r="G342" t="str">
        <f>"negarestanabi"</f>
        <v>negarestanabi</v>
      </c>
    </row>
    <row r="343" spans="1:7" x14ac:dyDescent="0.25">
      <c r="A343" t="str">
        <f>"Boiling, Research and Advances"</f>
        <v>Boiling, Research and Advances</v>
      </c>
      <c r="B343" t="str">
        <f>"9780081010099"</f>
        <v>9780081010099</v>
      </c>
      <c r="C343">
        <v>162</v>
      </c>
      <c r="D343" t="str">
        <f>"USD"</f>
        <v>USD</v>
      </c>
      <c r="E343" t="str">
        <f>"2017"</f>
        <v>2017</v>
      </c>
      <c r="F343" t="str">
        <f>"Koizumi"</f>
        <v>Koizumi</v>
      </c>
      <c r="G343" t="str">
        <f>"dehkadehketab"</f>
        <v>dehkadehketab</v>
      </c>
    </row>
    <row r="344" spans="1:7" x14ac:dyDescent="0.25">
      <c r="A344" t="str">
        <f>"Boronic Acids: Preparation and Applications in Organic Synthesis, Medicine and Materials,2V Set,2e"</f>
        <v>Boronic Acids: Preparation and Applications in Organic Synthesis, Medicine and Materials,2V Set,2e</v>
      </c>
      <c r="B344" t="str">
        <f>"9783527325986"</f>
        <v>9783527325986</v>
      </c>
      <c r="C344">
        <v>128</v>
      </c>
      <c r="D344" t="str">
        <f>"USD"</f>
        <v>USD</v>
      </c>
      <c r="E344" t="str">
        <f>"2011"</f>
        <v>2011</v>
      </c>
      <c r="F344" t="str">
        <f>"Hall"</f>
        <v>Hall</v>
      </c>
      <c r="G344" t="str">
        <f>"avanddanesh"</f>
        <v>avanddanesh</v>
      </c>
    </row>
    <row r="345" spans="1:7" x14ac:dyDescent="0.25">
      <c r="A345" t="str">
        <f>"Botanical Miracles: Chemistry of Plants That Changed the World"</f>
        <v>Botanical Miracles: Chemistry of Plants That Changed the World</v>
      </c>
      <c r="B345" t="str">
        <f>"9781498704281"</f>
        <v>9781498704281</v>
      </c>
      <c r="C345">
        <v>65.45</v>
      </c>
      <c r="D345" t="str">
        <f>"GBP"</f>
        <v>GBP</v>
      </c>
      <c r="E345" t="str">
        <f>"2016"</f>
        <v>2016</v>
      </c>
      <c r="F345" t="str">
        <f>"Raymond Cooper,Jeff"</f>
        <v>Raymond Cooper,Jeff</v>
      </c>
      <c r="G345" t="str">
        <f>"AsarBartar"</f>
        <v>AsarBartar</v>
      </c>
    </row>
    <row r="346" spans="1:7" x14ac:dyDescent="0.25">
      <c r="A346" t="str">
        <f>"Bretherick's Handbook of Reactive Chemical Hazards"</f>
        <v>Bretherick's Handbook of Reactive Chemical Hazards</v>
      </c>
      <c r="B346" t="str">
        <f>"9780081009642"</f>
        <v>9780081009642</v>
      </c>
      <c r="C346">
        <v>495</v>
      </c>
      <c r="D346" t="str">
        <f t="shared" ref="D346:D352" si="29">"USD"</f>
        <v>USD</v>
      </c>
      <c r="E346" t="str">
        <f>"2017"</f>
        <v>2017</v>
      </c>
      <c r="F346" t="str">
        <f>"URBEN, PETER"</f>
        <v>URBEN, PETER</v>
      </c>
      <c r="G346" t="str">
        <f>"dehkadehketab"</f>
        <v>dehkadehketab</v>
      </c>
    </row>
    <row r="347" spans="1:7" x14ac:dyDescent="0.25">
      <c r="A347" t="str">
        <f>"Bridge To Organic Chemistry: Concepts and Nomenclature"</f>
        <v>Bridge To Organic Chemistry: Concepts and Nomenclature</v>
      </c>
      <c r="B347" t="str">
        <f>"9780470526767"</f>
        <v>9780470526767</v>
      </c>
      <c r="C347">
        <v>9.6</v>
      </c>
      <c r="D347" t="str">
        <f t="shared" si="29"/>
        <v>USD</v>
      </c>
      <c r="E347" t="str">
        <f>"2010"</f>
        <v>2010</v>
      </c>
      <c r="F347" t="str">
        <f>"Yoder"</f>
        <v>Yoder</v>
      </c>
      <c r="G347" t="str">
        <f>"avanddanesh"</f>
        <v>avanddanesh</v>
      </c>
    </row>
    <row r="348" spans="1:7" x14ac:dyDescent="0.25">
      <c r="A348" t="str">
        <f>"Bridging Heterogeneous and Homogeneous Catalysis -Concepts, Strategies, and Applications"</f>
        <v>Bridging Heterogeneous and Homogeneous Catalysis -Concepts, Strategies, and Applications</v>
      </c>
      <c r="B348" t="str">
        <f>"9783527335831"</f>
        <v>9783527335831</v>
      </c>
      <c r="C348">
        <v>159</v>
      </c>
      <c r="D348" t="str">
        <f t="shared" si="29"/>
        <v>USD</v>
      </c>
      <c r="E348" t="str">
        <f>"2014"</f>
        <v>2014</v>
      </c>
      <c r="F348" t="str">
        <f>"Li"</f>
        <v>Li</v>
      </c>
      <c r="G348" t="str">
        <f>"avanddanesh"</f>
        <v>avanddanesh</v>
      </c>
    </row>
    <row r="349" spans="1:7" x14ac:dyDescent="0.25">
      <c r="A349" t="str">
        <f>"Bridging Scales in Modelling and Simulation of Non-Reacting and Reacting Flows. Part I , Volume52"</f>
        <v>Bridging Scales in Modelling and Simulation of Non-Reacting and Reacting Flows. Part I , Volume52</v>
      </c>
      <c r="B349" t="str">
        <f>"9780128150948"</f>
        <v>9780128150948</v>
      </c>
      <c r="C349">
        <v>220.5</v>
      </c>
      <c r="D349" t="str">
        <f t="shared" si="29"/>
        <v>USD</v>
      </c>
      <c r="E349" t="str">
        <f>"2018"</f>
        <v>2018</v>
      </c>
      <c r="F349" t="str">
        <f>"Parente and De Wilde"</f>
        <v>Parente and De Wilde</v>
      </c>
      <c r="G349" t="str">
        <f>"dehkadehketab"</f>
        <v>dehkadehketab</v>
      </c>
    </row>
    <row r="350" spans="1:7" x14ac:dyDescent="0.25">
      <c r="A350" t="str">
        <f>"Bridging Scales in Modelling and Simulation of Non-Reacting and Reacting Flows. Part II, Volume53"</f>
        <v>Bridging Scales in Modelling and Simulation of Non-Reacting and Reacting Flows. Part II, Volume53</v>
      </c>
      <c r="B350" t="str">
        <f>"9780128149904"</f>
        <v>9780128149904</v>
      </c>
      <c r="C350">
        <v>220.5</v>
      </c>
      <c r="D350" t="str">
        <f t="shared" si="29"/>
        <v>USD</v>
      </c>
      <c r="E350" t="str">
        <f>"2018"</f>
        <v>2018</v>
      </c>
      <c r="F350" t="str">
        <f>"Parente and De Wilde"</f>
        <v>Parente and De Wilde</v>
      </c>
      <c r="G350" t="str">
        <f>"dehkadehketab"</f>
        <v>dehkadehketab</v>
      </c>
    </row>
    <row r="351" spans="1:7" x14ac:dyDescent="0.25">
      <c r="A351" t="str">
        <f>"Brown's Introduction to Organic Chemistry,6e Global Edition"</f>
        <v>Brown's Introduction to Organic Chemistry,6e Global Edition</v>
      </c>
      <c r="B351" t="str">
        <f>"9781119382881"</f>
        <v>9781119382881</v>
      </c>
      <c r="C351">
        <v>54.9</v>
      </c>
      <c r="D351" t="str">
        <f t="shared" si="29"/>
        <v>USD</v>
      </c>
      <c r="E351" t="str">
        <f>"2017"</f>
        <v>2017</v>
      </c>
      <c r="F351" t="str">
        <f>"Brown"</f>
        <v>Brown</v>
      </c>
      <c r="G351" t="str">
        <f>"avanddanesh"</f>
        <v>avanddanesh</v>
      </c>
    </row>
    <row r="352" spans="1:7" x14ac:dyDescent="0.25">
      <c r="A352" t="str">
        <f>"Business Chemistry: How to Build and Sustain Thriving Businesses in the Chemical Industry"</f>
        <v>Business Chemistry: How to Build and Sustain Thriving Businesses in the Chemical Industry</v>
      </c>
      <c r="B352" t="str">
        <f>"9781118858493"</f>
        <v>9781118858493</v>
      </c>
      <c r="C352">
        <v>90</v>
      </c>
      <c r="D352" t="str">
        <f t="shared" si="29"/>
        <v>USD</v>
      </c>
      <c r="E352" t="str">
        <f>"2018"</f>
        <v>2018</v>
      </c>
      <c r="F352" t="str">
        <f>"Leker"</f>
        <v>Leker</v>
      </c>
      <c r="G352" t="str">
        <f>"avanddanesh"</f>
        <v>avanddanesh</v>
      </c>
    </row>
    <row r="353" spans="1:7" x14ac:dyDescent="0.25">
      <c r="A353" t="str">
        <f>"Cage Metal Complexes: Clathrochelates Revisited"</f>
        <v>Cage Metal Complexes: Clathrochelates Revisited</v>
      </c>
      <c r="B353" t="str">
        <f>"9783319564197"</f>
        <v>9783319564197</v>
      </c>
      <c r="C353">
        <v>116.99</v>
      </c>
      <c r="D353" t="str">
        <f>"EUR"</f>
        <v>EUR</v>
      </c>
      <c r="E353" t="str">
        <f>"2017"</f>
        <v>2017</v>
      </c>
      <c r="F353" t="str">
        <f>"Voloshin"</f>
        <v>Voloshin</v>
      </c>
      <c r="G353" t="str">
        <f>"negarestanabi"</f>
        <v>negarestanabi</v>
      </c>
    </row>
    <row r="354" spans="1:7" x14ac:dyDescent="0.25">
      <c r="A354" t="str">
        <f>"Calcium Orthophosphate-Based Bioceramics and Biocomposites"</f>
        <v>Calcium Orthophosphate-Based Bioceramics and Biocomposites</v>
      </c>
      <c r="B354" t="str">
        <f>"9783527337880"</f>
        <v>9783527337880</v>
      </c>
      <c r="C354">
        <v>195.5</v>
      </c>
      <c r="D354" t="str">
        <f t="shared" ref="D354:D360" si="30">"USD"</f>
        <v>USD</v>
      </c>
      <c r="E354" t="str">
        <f>"2016"</f>
        <v>2016</v>
      </c>
      <c r="F354" t="str">
        <f>"Dorozhkin"</f>
        <v>Dorozhkin</v>
      </c>
      <c r="G354" t="str">
        <f>"avanddanesh"</f>
        <v>avanddanesh</v>
      </c>
    </row>
    <row r="355" spans="1:7" x14ac:dyDescent="0.25">
      <c r="A355" t="str">
        <f>"Calixarenes and Resorcinarenes: Synthesis, Properties and Applications"</f>
        <v>Calixarenes and Resorcinarenes: Synthesis, Properties and Applications</v>
      </c>
      <c r="B355" t="str">
        <f>"9783527322633"</f>
        <v>9783527322633</v>
      </c>
      <c r="C355">
        <v>93.6</v>
      </c>
      <c r="D355" t="str">
        <f t="shared" si="30"/>
        <v>USD</v>
      </c>
      <c r="E355" t="str">
        <f>"2009"</f>
        <v>2009</v>
      </c>
      <c r="F355" t="str">
        <f>"Sliwa"</f>
        <v>Sliwa</v>
      </c>
      <c r="G355" t="str">
        <f>"avanddanesh"</f>
        <v>avanddanesh</v>
      </c>
    </row>
    <row r="356" spans="1:7" x14ac:dyDescent="0.25">
      <c r="A356" t="str">
        <f>"Calorimetry: Fundamentals, Instrumentation and Applications"</f>
        <v>Calorimetry: Fundamentals, Instrumentation and Applications</v>
      </c>
      <c r="B356" t="str">
        <f>"9783527327614"</f>
        <v>9783527327614</v>
      </c>
      <c r="C356">
        <v>77.2</v>
      </c>
      <c r="D356" t="str">
        <f t="shared" si="30"/>
        <v>USD</v>
      </c>
      <c r="E356" t="str">
        <f>"2014"</f>
        <v>2014</v>
      </c>
      <c r="F356" t="str">
        <f>"Sarge"</f>
        <v>Sarge</v>
      </c>
      <c r="G356" t="str">
        <f>"avanddanesh"</f>
        <v>avanddanesh</v>
      </c>
    </row>
    <row r="357" spans="1:7" x14ac:dyDescent="0.25">
      <c r="A357" t="str">
        <f>"Cannabinoids in Nature and Medicine"</f>
        <v>Cannabinoids in Nature and Medicine</v>
      </c>
      <c r="B357" t="str">
        <f>"9783906390567"</f>
        <v>9783906390567</v>
      </c>
      <c r="C357">
        <v>138.57</v>
      </c>
      <c r="D357" t="str">
        <f t="shared" si="30"/>
        <v>USD</v>
      </c>
      <c r="E357" t="str">
        <f>"2009"</f>
        <v>2009</v>
      </c>
      <c r="F357" t="str">
        <f>"Lambert"</f>
        <v>Lambert</v>
      </c>
      <c r="G357" t="str">
        <f>"safirketab"</f>
        <v>safirketab</v>
      </c>
    </row>
    <row r="358" spans="1:7" x14ac:dyDescent="0.25">
      <c r="A358" t="str">
        <f>"Capillary Electromigration Separation Methods"</f>
        <v>Capillary Electromigration Separation Methods</v>
      </c>
      <c r="B358" t="str">
        <f>"9780128093603"</f>
        <v>9780128093603</v>
      </c>
      <c r="C358">
        <v>166.5</v>
      </c>
      <c r="D358" t="str">
        <f t="shared" si="30"/>
        <v>USD</v>
      </c>
      <c r="E358" t="str">
        <f>"2018"</f>
        <v>2018</v>
      </c>
      <c r="F358" t="str">
        <f>"Poole"</f>
        <v>Poole</v>
      </c>
      <c r="G358" t="str">
        <f>"dehkadehketab"</f>
        <v>dehkadehketab</v>
      </c>
    </row>
    <row r="359" spans="1:7" x14ac:dyDescent="0.25">
      <c r="A359" t="str">
        <f>"Capillary Electrophoresis - Mass Spectrometry (CE-MS): Principles and Applications"</f>
        <v>Capillary Electrophoresis - Mass Spectrometry (CE-MS): Principles and Applications</v>
      </c>
      <c r="B359" t="str">
        <f>"9783527339242"</f>
        <v>9783527339242</v>
      </c>
      <c r="C359">
        <v>148.80000000000001</v>
      </c>
      <c r="D359" t="str">
        <f t="shared" si="30"/>
        <v>USD</v>
      </c>
      <c r="E359" t="str">
        <f>"2016"</f>
        <v>2016</v>
      </c>
      <c r="F359" t="str">
        <f>"de Jong"</f>
        <v>de Jong</v>
      </c>
      <c r="G359" t="str">
        <f>"avanddanesh"</f>
        <v>avanddanesh</v>
      </c>
    </row>
    <row r="360" spans="1:7" x14ac:dyDescent="0.25">
      <c r="A360" t="str">
        <f>"Carbohydrate Nanotechnology"</f>
        <v>Carbohydrate Nanotechnology</v>
      </c>
      <c r="B360" t="str">
        <f>"9781118860533"</f>
        <v>9781118860533</v>
      </c>
      <c r="C360">
        <v>140</v>
      </c>
      <c r="D360" t="str">
        <f t="shared" si="30"/>
        <v>USD</v>
      </c>
      <c r="E360" t="str">
        <f>"2015"</f>
        <v>2015</v>
      </c>
      <c r="F360" t="str">
        <f>"Stine"</f>
        <v>Stine</v>
      </c>
      <c r="G360" t="str">
        <f>"avanddanesh"</f>
        <v>avanddanesh</v>
      </c>
    </row>
    <row r="361" spans="1:7" x14ac:dyDescent="0.25">
      <c r="A361" t="str">
        <f>"Carbohydrates in Drug Design and Discovery"</f>
        <v>Carbohydrates in Drug Design and Discovery</v>
      </c>
      <c r="B361" t="str">
        <f>"9781849739399"</f>
        <v>9781849739399</v>
      </c>
      <c r="C361">
        <v>93</v>
      </c>
      <c r="D361" t="str">
        <f>"GBP"</f>
        <v>GBP</v>
      </c>
      <c r="E361" t="str">
        <f>"2015"</f>
        <v>2015</v>
      </c>
      <c r="F361" t="str">
        <f>"Jimenez-Barbero, Can"</f>
        <v>Jimenez-Barbero, Can</v>
      </c>
      <c r="G361" t="str">
        <f>"arzinbooks"</f>
        <v>arzinbooks</v>
      </c>
    </row>
    <row r="362" spans="1:7" x14ac:dyDescent="0.25">
      <c r="A362" t="str">
        <f>"Carbon Capture and Sequestration: Integrating Technology, Monitoring, Regulations"</f>
        <v>Carbon Capture and Sequestration: Integrating Technology, Monitoring, Regulations</v>
      </c>
      <c r="B362" t="str">
        <f>"9780813802077"</f>
        <v>9780813802077</v>
      </c>
      <c r="C362">
        <v>129</v>
      </c>
      <c r="D362" t="str">
        <f>"USD"</f>
        <v>USD</v>
      </c>
      <c r="E362" t="str">
        <f>"2007"</f>
        <v>2007</v>
      </c>
      <c r="F362" t="str">
        <f>"Wilson"</f>
        <v>Wilson</v>
      </c>
      <c r="G362" t="str">
        <f>"safirketab"</f>
        <v>safirketab</v>
      </c>
    </row>
    <row r="363" spans="1:7" x14ac:dyDescent="0.25">
      <c r="A363" t="str">
        <f>"Carbon Dioxide and Organometallics"</f>
        <v>Carbon Dioxide and Organometallics</v>
      </c>
      <c r="B363" t="str">
        <f>"9783319220772"</f>
        <v>9783319220772</v>
      </c>
      <c r="C363">
        <v>224.99</v>
      </c>
      <c r="D363" t="str">
        <f>"EUR"</f>
        <v>EUR</v>
      </c>
      <c r="E363" t="str">
        <f>"2016"</f>
        <v>2016</v>
      </c>
      <c r="F363" t="str">
        <f>"Lu"</f>
        <v>Lu</v>
      </c>
      <c r="G363" t="str">
        <f>"negarestanabi"</f>
        <v>negarestanabi</v>
      </c>
    </row>
    <row r="364" spans="1:7" x14ac:dyDescent="0.25">
      <c r="A364" t="str">
        <f>"Carbon Dioxide Thermodynamic Properties Handbook"</f>
        <v>Carbon Dioxide Thermodynamic Properties Handbook</v>
      </c>
      <c r="B364" t="str">
        <f>"9781118012987"</f>
        <v>9781118012987</v>
      </c>
      <c r="C364">
        <v>248.22</v>
      </c>
      <c r="D364" t="str">
        <f>"USD"</f>
        <v>USD</v>
      </c>
      <c r="E364" t="str">
        <f>"2011"</f>
        <v>2011</v>
      </c>
      <c r="F364" t="str">
        <f>"Anwar"</f>
        <v>Anwar</v>
      </c>
      <c r="G364" t="str">
        <f>"safirketab"</f>
        <v>safirketab</v>
      </c>
    </row>
    <row r="365" spans="1:7" x14ac:dyDescent="0.25">
      <c r="A365" t="str">
        <f>"Carbon Dioxide to Chemicals and Fuels"</f>
        <v>Carbon Dioxide to Chemicals and Fuels</v>
      </c>
      <c r="B365" t="str">
        <f>"9780444639943"</f>
        <v>9780444639943</v>
      </c>
      <c r="C365">
        <v>180</v>
      </c>
      <c r="D365" t="str">
        <f>"USD"</f>
        <v>USD</v>
      </c>
      <c r="E365" t="str">
        <f>"2018"</f>
        <v>2018</v>
      </c>
      <c r="F365" t="str">
        <f>"Scibioh and B"</f>
        <v>Scibioh and B</v>
      </c>
      <c r="G365" t="str">
        <f>"dehkadehketab"</f>
        <v>dehkadehketab</v>
      </c>
    </row>
    <row r="366" spans="1:7" x14ac:dyDescent="0.25">
      <c r="A366" t="str">
        <f>"Carbon in Electrochemistry"</f>
        <v>Carbon in Electrochemistry</v>
      </c>
      <c r="B366" t="str">
        <f>"9781782620297"</f>
        <v>9781782620297</v>
      </c>
      <c r="C366">
        <v>93.5</v>
      </c>
      <c r="D366" t="str">
        <f>"GBP"</f>
        <v>GBP</v>
      </c>
      <c r="E366" t="str">
        <f>"2014"</f>
        <v>2014</v>
      </c>
      <c r="F366" t="str">
        <f>"Royal Society of Che"</f>
        <v>Royal Society of Che</v>
      </c>
      <c r="G366" t="str">
        <f>"arzinbooks"</f>
        <v>arzinbooks</v>
      </c>
    </row>
    <row r="367" spans="1:7" x14ac:dyDescent="0.25">
      <c r="A367" t="str">
        <f>"Carbon-Centered Free Radicals and Radical Cations:Structure, Reactivity, and Dynamics"</f>
        <v>Carbon-Centered Free Radicals and Radical Cations:Structure, Reactivity, and Dynamics</v>
      </c>
      <c r="B367" t="str">
        <f>"9780470390092"</f>
        <v>9780470390092</v>
      </c>
      <c r="C367">
        <v>105.21</v>
      </c>
      <c r="D367" t="str">
        <f t="shared" ref="D367:D382" si="31">"USD"</f>
        <v>USD</v>
      </c>
      <c r="E367" t="str">
        <f>"2010"</f>
        <v>2010</v>
      </c>
      <c r="F367" t="str">
        <f>"Forbes"</f>
        <v>Forbes</v>
      </c>
      <c r="G367" t="str">
        <f>"safirketab"</f>
        <v>safirketab</v>
      </c>
    </row>
    <row r="368" spans="1:7" x14ac:dyDescent="0.25">
      <c r="A368" t="str">
        <f>"Carbon-Rich Compounds: From Molecules to Materials"</f>
        <v>Carbon-Rich Compounds: From Molecules to Materials</v>
      </c>
      <c r="B368" t="str">
        <f>"9783527312245"</f>
        <v>9783527312245</v>
      </c>
      <c r="C368">
        <v>86</v>
      </c>
      <c r="D368" t="str">
        <f t="shared" si="31"/>
        <v>USD</v>
      </c>
      <c r="E368" t="str">
        <f>"2006"</f>
        <v>2006</v>
      </c>
      <c r="F368" t="str">
        <f>"Haley          "</f>
        <v xml:space="preserve">Haley          </v>
      </c>
      <c r="G368" t="str">
        <f>"safirketab"</f>
        <v>safirketab</v>
      </c>
    </row>
    <row r="369" spans="1:7" x14ac:dyDescent="0.25">
      <c r="A369" t="str">
        <f>"Carbon-Rich Compounds: From Molecules to Materials"</f>
        <v>Carbon-Rich Compounds: From Molecules to Materials</v>
      </c>
      <c r="B369" t="str">
        <f>"9783527312245"</f>
        <v>9783527312245</v>
      </c>
      <c r="C369">
        <v>86</v>
      </c>
      <c r="D369" t="str">
        <f t="shared" si="31"/>
        <v>USD</v>
      </c>
      <c r="E369" t="str">
        <f>"2006"</f>
        <v>2006</v>
      </c>
      <c r="F369" t="str">
        <f>"Haley"</f>
        <v>Haley</v>
      </c>
      <c r="G369" t="str">
        <f>"avanddanesh"</f>
        <v>avanddanesh</v>
      </c>
    </row>
    <row r="370" spans="1:7" x14ac:dyDescent="0.25">
      <c r="A370" t="str">
        <f>"Carotenoids: Nutrition, Analysis and Technology"</f>
        <v>Carotenoids: Nutrition, Analysis and Technology</v>
      </c>
      <c r="B370" t="str">
        <f>"9781118622261"</f>
        <v>9781118622261</v>
      </c>
      <c r="C370">
        <v>112</v>
      </c>
      <c r="D370" t="str">
        <f t="shared" si="31"/>
        <v>USD</v>
      </c>
      <c r="E370" t="str">
        <f>"2015"</f>
        <v>2015</v>
      </c>
      <c r="F370" t="str">
        <f>"Kaczor"</f>
        <v>Kaczor</v>
      </c>
      <c r="G370" t="str">
        <f>"avanddanesh"</f>
        <v>avanddanesh</v>
      </c>
    </row>
    <row r="371" spans="1:7" x14ac:dyDescent="0.25">
      <c r="A371" t="str">
        <f>"Carrier-bound Immobilized Enzymes: Principles, Application and Design"</f>
        <v>Carrier-bound Immobilized Enzymes: Principles, Application and Design</v>
      </c>
      <c r="B371" t="str">
        <f>"9783527312320"</f>
        <v>9783527312320</v>
      </c>
      <c r="C371">
        <v>165</v>
      </c>
      <c r="D371" t="str">
        <f t="shared" si="31"/>
        <v>USD</v>
      </c>
      <c r="E371" t="str">
        <f>"2006"</f>
        <v>2006</v>
      </c>
      <c r="F371" t="str">
        <f>"Biochemistry"</f>
        <v>Biochemistry</v>
      </c>
      <c r="G371" t="str">
        <f>"safirketab"</f>
        <v>safirketab</v>
      </c>
    </row>
    <row r="372" spans="1:7" x14ac:dyDescent="0.25">
      <c r="A372" t="str">
        <f>"Catalysis: An Integrated Textbook for Students"</f>
        <v>Catalysis: An Integrated Textbook for Students</v>
      </c>
      <c r="B372" t="str">
        <f>"9783527341597"</f>
        <v>9783527341597</v>
      </c>
      <c r="C372">
        <v>99</v>
      </c>
      <c r="D372" t="str">
        <f t="shared" si="31"/>
        <v>USD</v>
      </c>
      <c r="E372" t="str">
        <f>"2017"</f>
        <v>2017</v>
      </c>
      <c r="F372" t="str">
        <f>"Hanefeld"</f>
        <v>Hanefeld</v>
      </c>
      <c r="G372" t="str">
        <f>"avanddanesh"</f>
        <v>avanddanesh</v>
      </c>
    </row>
    <row r="373" spans="1:7" x14ac:dyDescent="0.25">
      <c r="A373" t="str">
        <f>"Catalysis: Concepts and Green Applications,2e"</f>
        <v>Catalysis: Concepts and Green Applications,2e</v>
      </c>
      <c r="B373" t="str">
        <f>"9783527343058"</f>
        <v>9783527343058</v>
      </c>
      <c r="C373">
        <v>81</v>
      </c>
      <c r="D373" t="str">
        <f t="shared" si="31"/>
        <v>USD</v>
      </c>
      <c r="E373" t="str">
        <f>"2017"</f>
        <v>2017</v>
      </c>
      <c r="F373" t="str">
        <f>"Rothenberg"</f>
        <v>Rothenberg</v>
      </c>
      <c r="G373" t="str">
        <f>"avanddanesh"</f>
        <v>avanddanesh</v>
      </c>
    </row>
    <row r="374" spans="1:7" x14ac:dyDescent="0.25">
      <c r="A374" t="str">
        <f>"Catalysts for Fine Chemical Synthesis V4: Microporous and Mesoporous Solid Catalysts"</f>
        <v>Catalysts for Fine Chemical Synthesis V4: Microporous and Mesoporous Solid Catalysts</v>
      </c>
      <c r="B374" t="str">
        <f>"9780471490548"</f>
        <v>9780471490548</v>
      </c>
      <c r="C374">
        <v>153</v>
      </c>
      <c r="D374" t="str">
        <f t="shared" si="31"/>
        <v>USD</v>
      </c>
      <c r="E374" t="str">
        <f>"2006"</f>
        <v>2006</v>
      </c>
      <c r="F374" t="str">
        <f>"Derouane"</f>
        <v>Derouane</v>
      </c>
      <c r="G374" t="str">
        <f>"safirketab"</f>
        <v>safirketab</v>
      </c>
    </row>
    <row r="375" spans="1:7" x14ac:dyDescent="0.25">
      <c r="A375" t="str">
        <f>"Catalytic Amination for N-Alkyl Amine Synthesis"</f>
        <v>Catalytic Amination for N-Alkyl Amine Synthesis</v>
      </c>
      <c r="B375" t="str">
        <f>"9780128122839"</f>
        <v>9780128122839</v>
      </c>
      <c r="C375">
        <v>180</v>
      </c>
      <c r="D375" t="str">
        <f t="shared" si="31"/>
        <v>USD</v>
      </c>
      <c r="E375" t="str">
        <f>"2018"</f>
        <v>2018</v>
      </c>
      <c r="F375" t="str">
        <f>"Shi and Cui"</f>
        <v>Shi and Cui</v>
      </c>
      <c r="G375" t="str">
        <f>"dehkadehketab"</f>
        <v>dehkadehketab</v>
      </c>
    </row>
    <row r="376" spans="1:7" x14ac:dyDescent="0.25">
      <c r="A376" t="str">
        <f>"Catalytic Arylation Methods: From the Academic Lab to Industrial Processes"</f>
        <v>Catalytic Arylation Methods: From the Academic Lab to Industrial Processes</v>
      </c>
      <c r="B376" t="str">
        <f>"9783527335183"</f>
        <v>9783527335183</v>
      </c>
      <c r="C376">
        <v>166.5</v>
      </c>
      <c r="D376" t="str">
        <f t="shared" si="31"/>
        <v>USD</v>
      </c>
      <c r="E376" t="str">
        <f>"2014"</f>
        <v>2014</v>
      </c>
      <c r="F376" t="str">
        <f>"Burke"</f>
        <v>Burke</v>
      </c>
      <c r="G376" t="str">
        <f t="shared" ref="G376:G382" si="32">"avanddanesh"</f>
        <v>avanddanesh</v>
      </c>
    </row>
    <row r="377" spans="1:7" x14ac:dyDescent="0.25">
      <c r="A377" t="str">
        <f>"Catalytic Asymmetric Conjugate Reactions"</f>
        <v>Catalytic Asymmetric Conjugate Reactions</v>
      </c>
      <c r="B377" t="str">
        <f>"9783527324118"</f>
        <v>9783527324118</v>
      </c>
      <c r="C377">
        <v>87.6</v>
      </c>
      <c r="D377" t="str">
        <f t="shared" si="31"/>
        <v>USD</v>
      </c>
      <c r="E377" t="str">
        <f>"2010"</f>
        <v>2010</v>
      </c>
      <c r="F377" t="str">
        <f>"Cordova"</f>
        <v>Cordova</v>
      </c>
      <c r="G377" t="str">
        <f t="shared" si="32"/>
        <v>avanddanesh</v>
      </c>
    </row>
    <row r="378" spans="1:7" x14ac:dyDescent="0.25">
      <c r="A378" t="str">
        <f>"Catalytic Asymmetric Friedel-Crafts Alkylations"</f>
        <v>Catalytic Asymmetric Friedel-Crafts Alkylations</v>
      </c>
      <c r="B378" t="str">
        <f>"9783527323807"</f>
        <v>9783527323807</v>
      </c>
      <c r="C378">
        <v>93.6</v>
      </c>
      <c r="D378" t="str">
        <f t="shared" si="31"/>
        <v>USD</v>
      </c>
      <c r="E378" t="str">
        <f>"2009"</f>
        <v>2009</v>
      </c>
      <c r="F378" t="str">
        <f>"Bandini"</f>
        <v>Bandini</v>
      </c>
      <c r="G378" t="str">
        <f t="shared" si="32"/>
        <v>avanddanesh</v>
      </c>
    </row>
    <row r="379" spans="1:7" x14ac:dyDescent="0.25">
      <c r="A379" t="str">
        <f>"Catalytic Hydroarylation of Carbon-Carbon Multiple Bonds"</f>
        <v>Catalytic Hydroarylation of Carbon-Carbon Multiple Bonds</v>
      </c>
      <c r="B379" t="str">
        <f>"9783527340132"</f>
        <v>9783527340132</v>
      </c>
      <c r="C379">
        <v>184.5</v>
      </c>
      <c r="D379" t="str">
        <f t="shared" si="31"/>
        <v>USD</v>
      </c>
      <c r="E379" t="str">
        <f>"2017"</f>
        <v>2017</v>
      </c>
      <c r="F379" t="str">
        <f>"Ackermann"</f>
        <v>Ackermann</v>
      </c>
      <c r="G379" t="str">
        <f t="shared" si="32"/>
        <v>avanddanesh</v>
      </c>
    </row>
    <row r="380" spans="1:7" x14ac:dyDescent="0.25">
      <c r="A380" t="str">
        <f>"Catalytic Methods in Asymmetric Synthesis: Advanced Materials, Techniques, and Applications"</f>
        <v>Catalytic Methods in Asymmetric Synthesis: Advanced Materials, Techniques, and Applications</v>
      </c>
      <c r="B380" t="str">
        <f>"9780470641361"</f>
        <v>9780470641361</v>
      </c>
      <c r="C380">
        <v>68.400000000000006</v>
      </c>
      <c r="D380" t="str">
        <f t="shared" si="31"/>
        <v>USD</v>
      </c>
      <c r="E380" t="str">
        <f>"2011"</f>
        <v>2011</v>
      </c>
      <c r="F380" t="str">
        <f>"Gruttadauria"</f>
        <v>Gruttadauria</v>
      </c>
      <c r="G380" t="str">
        <f t="shared" si="32"/>
        <v>avanddanesh</v>
      </c>
    </row>
    <row r="381" spans="1:7" x14ac:dyDescent="0.25">
      <c r="A381" t="str">
        <f>"Catalyzed Carbon-Heteroatom Bond Formation"</f>
        <v>Catalyzed Carbon-Heteroatom Bond Formation</v>
      </c>
      <c r="B381" t="str">
        <f>"9783527324286"</f>
        <v>9783527324286</v>
      </c>
      <c r="C381">
        <v>91.6</v>
      </c>
      <c r="D381" t="str">
        <f t="shared" si="31"/>
        <v>USD</v>
      </c>
      <c r="E381" t="str">
        <f>"2010"</f>
        <v>2010</v>
      </c>
      <c r="F381" t="str">
        <f>"Yudin"</f>
        <v>Yudin</v>
      </c>
      <c r="G381" t="str">
        <f t="shared" si="32"/>
        <v>avanddanesh</v>
      </c>
    </row>
    <row r="382" spans="1:7" x14ac:dyDescent="0.25">
      <c r="A382" t="str">
        <f>"Cavity Ring-Down Spectroscopy: Techniques and Applications"</f>
        <v>Cavity Ring-Down Spectroscopy: Techniques and Applications</v>
      </c>
      <c r="B382" t="str">
        <f>"9781405176880"</f>
        <v>9781405176880</v>
      </c>
      <c r="C382">
        <v>66</v>
      </c>
      <c r="D382" t="str">
        <f t="shared" si="31"/>
        <v>USD</v>
      </c>
      <c r="E382" t="str">
        <f>"2009"</f>
        <v>2009</v>
      </c>
      <c r="F382" t="str">
        <f>"Berden"</f>
        <v>Berden</v>
      </c>
      <c r="G382" t="str">
        <f t="shared" si="32"/>
        <v>avanddanesh</v>
      </c>
    </row>
    <row r="383" spans="1:7" x14ac:dyDescent="0.25">
      <c r="A383" t="str">
        <f>"Cell Analysis on Microfluidics"</f>
        <v>Cell Analysis on Microfluidics</v>
      </c>
      <c r="B383" t="str">
        <f>"9789811053931"</f>
        <v>9789811053931</v>
      </c>
      <c r="C383">
        <v>152.99</v>
      </c>
      <c r="D383" t="str">
        <f>"EUR"</f>
        <v>EUR</v>
      </c>
      <c r="E383" t="str">
        <f>"2018"</f>
        <v>2018</v>
      </c>
      <c r="F383" t="str">
        <f>"Lin"</f>
        <v>Lin</v>
      </c>
      <c r="G383" t="str">
        <f>"negarestanabi"</f>
        <v>negarestanabi</v>
      </c>
    </row>
    <row r="384" spans="1:7" x14ac:dyDescent="0.25">
      <c r="A384" t="str">
        <f>"Cell-free Protein Synthesis: Methods and Protocols"</f>
        <v>Cell-free Protein Synthesis: Methods and Protocols</v>
      </c>
      <c r="B384" t="str">
        <f>"9783527316496"</f>
        <v>9783527316496</v>
      </c>
      <c r="C384">
        <v>75</v>
      </c>
      <c r="D384" t="str">
        <f t="shared" ref="D384:D393" si="33">"USD"</f>
        <v>USD</v>
      </c>
      <c r="E384" t="str">
        <f>"2008"</f>
        <v>2008</v>
      </c>
      <c r="F384" t="str">
        <f>"Spirin"</f>
        <v>Spirin</v>
      </c>
      <c r="G384" t="str">
        <f>"safirketab"</f>
        <v>safirketab</v>
      </c>
    </row>
    <row r="385" spans="1:7" x14ac:dyDescent="0.25">
      <c r="A385" t="str">
        <f>"Cellular and Biomolecular Recognition:Synthetic and non-Biological Molecules"</f>
        <v>Cellular and Biomolecular Recognition:Synthetic and non-Biological Molecules</v>
      </c>
      <c r="B385" t="str">
        <f>"9783527322657"</f>
        <v>9783527322657</v>
      </c>
      <c r="C385">
        <v>135</v>
      </c>
      <c r="D385" t="str">
        <f t="shared" si="33"/>
        <v>USD</v>
      </c>
      <c r="E385" t="str">
        <f>"2009"</f>
        <v>2009</v>
      </c>
      <c r="F385" t="str">
        <f>"Jelinek"</f>
        <v>Jelinek</v>
      </c>
      <c r="G385" t="str">
        <f>"safirketab"</f>
        <v>safirketab</v>
      </c>
    </row>
    <row r="386" spans="1:7" x14ac:dyDescent="0.25">
      <c r="A386" t="str">
        <f>"Cellular and Porous Materials: Thermal Properties Simulation and Prediction"</f>
        <v>Cellular and Porous Materials: Thermal Properties Simulation and Prediction</v>
      </c>
      <c r="B386" t="str">
        <f>"9783527319381"</f>
        <v>9783527319381</v>
      </c>
      <c r="C386">
        <v>129</v>
      </c>
      <c r="D386" t="str">
        <f t="shared" si="33"/>
        <v>USD</v>
      </c>
      <c r="E386" t="str">
        <f>"2008"</f>
        <v>2008</v>
      </c>
      <c r="F386" t="str">
        <f>"?chsner"</f>
        <v>?chsner</v>
      </c>
      <c r="G386" t="str">
        <f>"safirketab"</f>
        <v>safirketab</v>
      </c>
    </row>
    <row r="387" spans="1:7" x14ac:dyDescent="0.25">
      <c r="A387" t="str">
        <f>"Cellulose and Cellulose Derivatives in the Food Industry: Fundamentals and Applications"</f>
        <v>Cellulose and Cellulose Derivatives in the Food Industry: Fundamentals and Applications</v>
      </c>
      <c r="B387" t="str">
        <f>"9783527337583"</f>
        <v>9783527337583</v>
      </c>
      <c r="C387">
        <v>159</v>
      </c>
      <c r="D387" t="str">
        <f t="shared" si="33"/>
        <v>USD</v>
      </c>
      <c r="E387" t="str">
        <f>"2014"</f>
        <v>2014</v>
      </c>
      <c r="F387" t="str">
        <f>"Wuestenberg"</f>
        <v>Wuestenberg</v>
      </c>
      <c r="G387" t="str">
        <f>"avanddanesh"</f>
        <v>avanddanesh</v>
      </c>
    </row>
    <row r="388" spans="1:7" x14ac:dyDescent="0.25">
      <c r="A388" t="str">
        <f>"Cellulose Nanocrystals: Properties, Production and Applications"</f>
        <v>Cellulose Nanocrystals: Properties, Production and Applications</v>
      </c>
      <c r="B388" t="str">
        <f>"9781119968160"</f>
        <v>9781119968160</v>
      </c>
      <c r="C388">
        <v>108</v>
      </c>
      <c r="D388" t="str">
        <f t="shared" si="33"/>
        <v>USD</v>
      </c>
      <c r="E388" t="str">
        <f>"2017"</f>
        <v>2017</v>
      </c>
      <c r="F388" t="str">
        <f>"Hamad"</f>
        <v>Hamad</v>
      </c>
      <c r="G388" t="str">
        <f>"avanddanesh"</f>
        <v>avanddanesh</v>
      </c>
    </row>
    <row r="389" spans="1:7" x14ac:dyDescent="0.25">
      <c r="A389" t="str">
        <f>"Cellulosic Energy Cropping Systems"</f>
        <v>Cellulosic Energy Cropping Systems</v>
      </c>
      <c r="B389" t="str">
        <f>"9781119991946"</f>
        <v>9781119991946</v>
      </c>
      <c r="C389">
        <v>93.8</v>
      </c>
      <c r="D389" t="str">
        <f t="shared" si="33"/>
        <v>USD</v>
      </c>
      <c r="E389" t="str">
        <f>"2014"</f>
        <v>2014</v>
      </c>
      <c r="F389" t="str">
        <f>"Karlen"</f>
        <v>Karlen</v>
      </c>
      <c r="G389" t="str">
        <f>"avanddanesh"</f>
        <v>avanddanesh</v>
      </c>
    </row>
    <row r="390" spans="1:7" x14ac:dyDescent="0.25">
      <c r="A390" t="str">
        <f>"C-Furanosides, Synthesis and Stereochemistry"</f>
        <v>C-Furanosides, Synthesis and Stereochemistry</v>
      </c>
      <c r="B390" t="str">
        <f>"9780128037263"</f>
        <v>9780128037263</v>
      </c>
      <c r="C390">
        <v>157.5</v>
      </c>
      <c r="D390" t="str">
        <f t="shared" si="33"/>
        <v>USD</v>
      </c>
      <c r="E390" t="str">
        <f>"2017"</f>
        <v>2017</v>
      </c>
      <c r="F390" t="str">
        <f>"Goekjian et al"</f>
        <v>Goekjian et al</v>
      </c>
      <c r="G390" t="str">
        <f>"dehkadehketab"</f>
        <v>dehkadehketab</v>
      </c>
    </row>
    <row r="391" spans="1:7" x14ac:dyDescent="0.25">
      <c r="A391" t="str">
        <f>"Channels, Carriers, and Pumps, An Introduction to Membrane Transport, 2nd Edition"</f>
        <v>Channels, Carriers, and Pumps, An Introduction to Membrane Transport, 2nd Edition</v>
      </c>
      <c r="B391" t="str">
        <f>"9780124165793"</f>
        <v>9780124165793</v>
      </c>
      <c r="C391">
        <v>117</v>
      </c>
      <c r="D391" t="str">
        <f t="shared" si="33"/>
        <v>USD</v>
      </c>
      <c r="E391" t="str">
        <f>"2014"</f>
        <v>2014</v>
      </c>
      <c r="F391" t="str">
        <f>"Stein and Litman"</f>
        <v>Stein and Litman</v>
      </c>
      <c r="G391" t="str">
        <f>"arang"</f>
        <v>arang</v>
      </c>
    </row>
    <row r="392" spans="1:7" x14ac:dyDescent="0.25">
      <c r="A392" t="str">
        <f>"Characterization of Impurities and Degradants Using Mass Spectrometry"</f>
        <v>Characterization of Impurities and Degradants Using Mass Spectrometry</v>
      </c>
      <c r="B392" t="str">
        <f>"9780470386187"</f>
        <v>9780470386187</v>
      </c>
      <c r="C392">
        <v>50.8</v>
      </c>
      <c r="D392" t="str">
        <f t="shared" si="33"/>
        <v>USD</v>
      </c>
      <c r="E392" t="str">
        <f>"2011"</f>
        <v>2011</v>
      </c>
      <c r="F392" t="str">
        <f>"Pramanik"</f>
        <v>Pramanik</v>
      </c>
      <c r="G392" t="str">
        <f>"avanddanesh"</f>
        <v>avanddanesh</v>
      </c>
    </row>
    <row r="393" spans="1:7" x14ac:dyDescent="0.25">
      <c r="A393" t="str">
        <f>"Charged Aerosol Detection for Liquid Chromatography and Related Separation Techniques"</f>
        <v>Charged Aerosol Detection for Liquid Chromatography and Related Separation Techniques</v>
      </c>
      <c r="B393" t="str">
        <f>"9780470937785"</f>
        <v>9780470937785</v>
      </c>
      <c r="C393">
        <v>121.5</v>
      </c>
      <c r="D393" t="str">
        <f t="shared" si="33"/>
        <v>USD</v>
      </c>
      <c r="E393" t="str">
        <f>"2017"</f>
        <v>2017</v>
      </c>
      <c r="F393" t="str">
        <f>"Gamache"</f>
        <v>Gamache</v>
      </c>
      <c r="G393" t="str">
        <f>"avanddanesh"</f>
        <v>avanddanesh</v>
      </c>
    </row>
    <row r="394" spans="1:7" x14ac:dyDescent="0.25">
      <c r="A394" t="str">
        <f>"CHEM PRO CON &amp; CRSS-LNK 2ED"</f>
        <v>CHEM PRO CON &amp; CRSS-LNK 2ED</v>
      </c>
      <c r="B394" t="str">
        <f>"9780849374913"</f>
        <v>9780849374913</v>
      </c>
      <c r="C394">
        <v>101.4</v>
      </c>
      <c r="D394" t="str">
        <f>"GBP"</f>
        <v>GBP</v>
      </c>
      <c r="E394" t="str">
        <f>"2012"</f>
        <v>2012</v>
      </c>
      <c r="F394" t="str">
        <f>"JAMESON, DAVID M. |"</f>
        <v>JAMESON, DAVID M. |</v>
      </c>
      <c r="G394" t="str">
        <f>"AsarBartar"</f>
        <v>AsarBartar</v>
      </c>
    </row>
    <row r="395" spans="1:7" x14ac:dyDescent="0.25">
      <c r="A395" t="str">
        <f>"Chemical Analysis of Antibiotic Residues in Food"</f>
        <v>Chemical Analysis of Antibiotic Residues in Food</v>
      </c>
      <c r="B395" t="str">
        <f>"9780470490426"</f>
        <v>9780470490426</v>
      </c>
      <c r="C395">
        <v>50.8</v>
      </c>
      <c r="D395" t="str">
        <f>"USD"</f>
        <v>USD</v>
      </c>
      <c r="E395" t="str">
        <f>"2011"</f>
        <v>2011</v>
      </c>
      <c r="F395" t="str">
        <f>"Wang"</f>
        <v>Wang</v>
      </c>
      <c r="G395" t="str">
        <f>"avanddanesh"</f>
        <v>avanddanesh</v>
      </c>
    </row>
    <row r="396" spans="1:7" x14ac:dyDescent="0.25">
      <c r="A396" t="str">
        <f>"Chemical Analysis of Non-antimicrobial Veterinary Drug Residues in Food"</f>
        <v>Chemical Analysis of Non-antimicrobial Veterinary Drug Residues in Food</v>
      </c>
      <c r="B396" t="str">
        <f>"9781118695074"</f>
        <v>9781118695074</v>
      </c>
      <c r="C396">
        <v>165.8</v>
      </c>
      <c r="D396" t="str">
        <f>"USD"</f>
        <v>USD</v>
      </c>
      <c r="E396" t="str">
        <f>"2016"</f>
        <v>2016</v>
      </c>
      <c r="F396" t="str">
        <f>"Kay"</f>
        <v>Kay</v>
      </c>
      <c r="G396" t="str">
        <f>"avanddanesh"</f>
        <v>avanddanesh</v>
      </c>
    </row>
    <row r="397" spans="1:7" x14ac:dyDescent="0.25">
      <c r="A397" t="str">
        <f>"Chemical and Biological Microsensors:Applications in Fluid Media"</f>
        <v>Chemical and Biological Microsensors:Applications in Fluid Media</v>
      </c>
      <c r="B397" t="str">
        <f>"9781848211421"</f>
        <v>9781848211421</v>
      </c>
      <c r="C397">
        <v>126</v>
      </c>
      <c r="D397" t="str">
        <f>"USD"</f>
        <v>USD</v>
      </c>
      <c r="E397" t="str">
        <f>"2010"</f>
        <v>2010</v>
      </c>
      <c r="F397" t="str">
        <f>"Fabry"</f>
        <v>Fabry</v>
      </c>
      <c r="G397" t="str">
        <f>"safirketab"</f>
        <v>safirketab</v>
      </c>
    </row>
    <row r="398" spans="1:7" x14ac:dyDescent="0.25">
      <c r="A398" t="str">
        <f>"CHEMICAL AND BIOLOGICAL PROPERTIES OF FOOD ALLERGENS"</f>
        <v>CHEMICAL AND BIOLOGICAL PROPERTIES OF FOOD ALLERGENS</v>
      </c>
      <c r="B398" t="str">
        <f>"9781420058550"</f>
        <v>9781420058550</v>
      </c>
      <c r="C398">
        <v>31.5</v>
      </c>
      <c r="D398" t="str">
        <f>"GBP"</f>
        <v>GBP</v>
      </c>
      <c r="E398" t="str">
        <f>"2010"</f>
        <v>2010</v>
      </c>
      <c r="F398" t="str">
        <f>"LUCJAN JEDRYCHOWSKI"</f>
        <v>LUCJAN JEDRYCHOWSKI</v>
      </c>
      <c r="G398" t="str">
        <f>"AsarBartar"</f>
        <v>AsarBartar</v>
      </c>
    </row>
    <row r="399" spans="1:7" x14ac:dyDescent="0.25">
      <c r="A399" t="str">
        <f>"Chemical and Process Plant Commissioning Handbook, A Practical Guide to Plant System and Equipment Installation and Commissioning"</f>
        <v>Chemical and Process Plant Commissioning Handbook, A Practical Guide to Plant System and Equipment Installation and Commissioning</v>
      </c>
      <c r="B399" t="str">
        <f>"9780081015100"</f>
        <v>9780081015100</v>
      </c>
      <c r="C399">
        <v>118.8</v>
      </c>
      <c r="D399" t="str">
        <f>"USD"</f>
        <v>USD</v>
      </c>
      <c r="E399" t="str">
        <f>"2017"</f>
        <v>2017</v>
      </c>
      <c r="F399" t="str">
        <f>"Killcross"</f>
        <v>Killcross</v>
      </c>
      <c r="G399" t="str">
        <f>"dehkadehketab"</f>
        <v>dehkadehketab</v>
      </c>
    </row>
    <row r="400" spans="1:7" x14ac:dyDescent="0.25">
      <c r="A400" t="str">
        <f>"Chemical and Structure Modification of Polymers"</f>
        <v>Chemical and Structure Modification of Polymers</v>
      </c>
      <c r="B400" t="str">
        <f>"9781771881227"</f>
        <v>9781771881227</v>
      </c>
      <c r="C400">
        <v>90.1</v>
      </c>
      <c r="D400" t="str">
        <f>"GBP"</f>
        <v>GBP</v>
      </c>
      <c r="E400" t="str">
        <f>"2016"</f>
        <v>2016</v>
      </c>
      <c r="F400" t="str">
        <f>"Gennady E. Zaikov(E"</f>
        <v>Gennady E. Zaikov(E</v>
      </c>
      <c r="G400" t="str">
        <f>"AsarBartar"</f>
        <v>AsarBartar</v>
      </c>
    </row>
    <row r="401" spans="1:7" x14ac:dyDescent="0.25">
      <c r="A401" t="str">
        <f>"Chemical Biology of DNA Damage"</f>
        <v>Chemical Biology of DNA Damage</v>
      </c>
      <c r="B401" t="str">
        <f>"9783527322954"</f>
        <v>9783527322954</v>
      </c>
      <c r="C401">
        <v>151.19999999999999</v>
      </c>
      <c r="D401" t="str">
        <f>"USD"</f>
        <v>USD</v>
      </c>
      <c r="E401" t="str">
        <f>"2010"</f>
        <v>2010</v>
      </c>
      <c r="F401" t="str">
        <f>"Geacintov"</f>
        <v>Geacintov</v>
      </c>
      <c r="G401" t="str">
        <f>"safirketab"</f>
        <v>safirketab</v>
      </c>
    </row>
    <row r="402" spans="1:7" x14ac:dyDescent="0.25">
      <c r="A402" t="str">
        <f>"Chemical Bonding, 2V Set"</f>
        <v>Chemical Bonding, 2V Set</v>
      </c>
      <c r="B402" t="str">
        <f>"9783527333189"</f>
        <v>9783527333189</v>
      </c>
      <c r="C402">
        <v>240</v>
      </c>
      <c r="D402" t="str">
        <f>"USD"</f>
        <v>USD</v>
      </c>
      <c r="E402" t="str">
        <f>"2014"</f>
        <v>2014</v>
      </c>
      <c r="F402" t="str">
        <f>"Frenking"</f>
        <v>Frenking</v>
      </c>
      <c r="G402" t="str">
        <f>"avanddanesh"</f>
        <v>avanddanesh</v>
      </c>
    </row>
    <row r="403" spans="1:7" x14ac:dyDescent="0.25">
      <c r="A403" t="str">
        <f>"Chemical Complexity via Simple ModelsMODELICS"</f>
        <v>Chemical Complexity via Simple ModelsMODELICS</v>
      </c>
      <c r="B403" t="str">
        <f>"9783110464917"</f>
        <v>9783110464917</v>
      </c>
      <c r="C403">
        <v>62.95</v>
      </c>
      <c r="D403" t="str">
        <f>"EUR"</f>
        <v>EUR</v>
      </c>
      <c r="E403" t="str">
        <f>"2018"</f>
        <v>2018</v>
      </c>
      <c r="F403" t="str">
        <f>"Bykov, Valeriy I. /"</f>
        <v>Bykov, Valeriy I. /</v>
      </c>
      <c r="G403" t="str">
        <f>"AsarBartar"</f>
        <v>AsarBartar</v>
      </c>
    </row>
    <row r="404" spans="1:7" x14ac:dyDescent="0.25">
      <c r="A404" t="str">
        <f>"Chemical Complexity: Self-Organization Processes in Molecular Systems"</f>
        <v>Chemical Complexity: Self-Organization Processes in Molecular Systems</v>
      </c>
      <c r="B404" t="str">
        <f>"9783319573755"</f>
        <v>9783319573755</v>
      </c>
      <c r="C404">
        <v>67.489999999999995</v>
      </c>
      <c r="D404" t="str">
        <f>"EUR"</f>
        <v>EUR</v>
      </c>
      <c r="E404" t="str">
        <f>"2017"</f>
        <v>2017</v>
      </c>
      <c r="F404" t="str">
        <f>"Mikhailov"</f>
        <v>Mikhailov</v>
      </c>
      <c r="G404" t="str">
        <f>"negarestanabi"</f>
        <v>negarestanabi</v>
      </c>
    </row>
    <row r="405" spans="1:7" x14ac:dyDescent="0.25">
      <c r="A405" t="str">
        <f>"CHEMICAL COMPONENTS OF TOBACCO AND TOBACCO SMOKE,THE"</f>
        <v>CHEMICAL COMPONENTS OF TOBACCO AND TOBACCO SMOKE,THE</v>
      </c>
      <c r="B405" t="str">
        <f>"9781420078831"</f>
        <v>9781420078831</v>
      </c>
      <c r="C405">
        <v>61.2</v>
      </c>
      <c r="D405" t="str">
        <f>"GBP"</f>
        <v>GBP</v>
      </c>
      <c r="E405" t="str">
        <f>"2009"</f>
        <v>2009</v>
      </c>
      <c r="F405" t="str">
        <f>"ALAN RODGMAN AND TH"</f>
        <v>ALAN RODGMAN AND TH</v>
      </c>
      <c r="G405" t="str">
        <f>"AsarBartar"</f>
        <v>AsarBartar</v>
      </c>
    </row>
    <row r="406" spans="1:7" x14ac:dyDescent="0.25">
      <c r="A406" t="str">
        <f>"Chemical Constituents of Bryophytes: Bio- and Chemical Diversity. Biological Activity. and Chemosystematics"</f>
        <v>Chemical Constituents of Bryophytes: Bio- and Chemical Diversity. Biological Activity. and Chemosystematics</v>
      </c>
      <c r="B406" t="str">
        <f>"9783709110836"</f>
        <v>9783709110836</v>
      </c>
      <c r="C406">
        <v>449.99</v>
      </c>
      <c r="D406" t="str">
        <f>"EUR"</f>
        <v>EUR</v>
      </c>
      <c r="E406" t="str">
        <f>"2013"</f>
        <v>2013</v>
      </c>
      <c r="F406" t="str">
        <f>"Kinghorn"</f>
        <v>Kinghorn</v>
      </c>
      <c r="G406" t="str">
        <f>"negarestanabi"</f>
        <v>negarestanabi</v>
      </c>
    </row>
    <row r="407" spans="1:7" x14ac:dyDescent="0.25">
      <c r="A407" t="str">
        <f>"Chemical Cytometry  Ultrasensitive Analysis of Single Cells"</f>
        <v>Chemical Cytometry  Ultrasensitive Analysis of Single Cells</v>
      </c>
      <c r="B407" t="str">
        <f>"9783527324958"</f>
        <v>9783527324958</v>
      </c>
      <c r="C407">
        <v>68</v>
      </c>
      <c r="D407" t="str">
        <f>"USD"</f>
        <v>USD</v>
      </c>
      <c r="E407" t="str">
        <f>"2010"</f>
        <v>2010</v>
      </c>
      <c r="F407" t="str">
        <f>"Lu"</f>
        <v>Lu</v>
      </c>
      <c r="G407" t="str">
        <f>"safirketab"</f>
        <v>safirketab</v>
      </c>
    </row>
    <row r="408" spans="1:7" x14ac:dyDescent="0.25">
      <c r="A408" t="str">
        <f>"Chemical Cytometry Ultrasensitive Analysis of Single Cells"</f>
        <v>Chemical Cytometry Ultrasensitive Analysis of Single Cells</v>
      </c>
      <c r="B408" t="str">
        <f>"9783527324958"</f>
        <v>9783527324958</v>
      </c>
      <c r="C408">
        <v>68</v>
      </c>
      <c r="D408" t="str">
        <f>"USD"</f>
        <v>USD</v>
      </c>
      <c r="E408" t="str">
        <f>"2010"</f>
        <v>2010</v>
      </c>
      <c r="F408" t="str">
        <f>"Lu"</f>
        <v>Lu</v>
      </c>
      <c r="G408" t="str">
        <f>"avanddanesh"</f>
        <v>avanddanesh</v>
      </c>
    </row>
    <row r="409" spans="1:7" x14ac:dyDescent="0.25">
      <c r="A409" t="str">
        <f>"Chemical Ecology"</f>
        <v>Chemical Ecology</v>
      </c>
      <c r="B409" t="str">
        <f>"9781848219243"</f>
        <v>9781848219243</v>
      </c>
      <c r="C409">
        <v>114.8</v>
      </c>
      <c r="D409" t="str">
        <f>"USD"</f>
        <v>USD</v>
      </c>
      <c r="E409" t="str">
        <f>"2016"</f>
        <v>2016</v>
      </c>
      <c r="F409" t="str">
        <f>"BagnÃ¨res"</f>
        <v>BagnÃ¨res</v>
      </c>
      <c r="G409" t="str">
        <f>"avanddanesh"</f>
        <v>avanddanesh</v>
      </c>
    </row>
    <row r="410" spans="1:7" x14ac:dyDescent="0.25">
      <c r="A410" t="str">
        <f>"Chemical Electrostatics: New Ideas on Electrostatic Charging: Mechanisms and Consequences"</f>
        <v>Chemical Electrostatics: New Ideas on Electrostatic Charging: Mechanisms and Consequences</v>
      </c>
      <c r="B410" t="str">
        <f>"9783319523736"</f>
        <v>9783319523736</v>
      </c>
      <c r="C410">
        <v>107.99</v>
      </c>
      <c r="D410" t="str">
        <f>"EUR"</f>
        <v>EUR</v>
      </c>
      <c r="E410" t="str">
        <f>"2017"</f>
        <v>2017</v>
      </c>
      <c r="F410" t="str">
        <f>"Galembeck"</f>
        <v>Galembeck</v>
      </c>
      <c r="G410" t="str">
        <f>"negarestanabi"</f>
        <v>negarestanabi</v>
      </c>
    </row>
    <row r="411" spans="1:7" x14ac:dyDescent="0.25">
      <c r="A411" t="str">
        <f>"Chemical Element: Chemistry's Contribution to Our Global Future"</f>
        <v>Chemical Element: Chemistry's Contribution to Our Global Future</v>
      </c>
      <c r="B411" t="str">
        <f>"9783527328802"</f>
        <v>9783527328802</v>
      </c>
      <c r="C411">
        <v>14.8</v>
      </c>
      <c r="D411" t="str">
        <f>"USD"</f>
        <v>USD</v>
      </c>
      <c r="E411" t="str">
        <f>"2011"</f>
        <v>2011</v>
      </c>
      <c r="F411" t="str">
        <f>"Garc?a-Mart?nez"</f>
        <v>Garc?a-Mart?nez</v>
      </c>
      <c r="G411" t="str">
        <f>"avanddanesh"</f>
        <v>avanddanesh</v>
      </c>
    </row>
    <row r="412" spans="1:7" x14ac:dyDescent="0.25">
      <c r="A412" t="str">
        <f>"Chemical Engineering Process Simulation"</f>
        <v>Chemical Engineering Process Simulation</v>
      </c>
      <c r="B412" t="str">
        <f>"9780128037416"</f>
        <v>9780128037416</v>
      </c>
      <c r="C412">
        <v>108</v>
      </c>
      <c r="D412" t="str">
        <f>"USD"</f>
        <v>USD</v>
      </c>
      <c r="E412" t="str">
        <f>"2017"</f>
        <v>2017</v>
      </c>
      <c r="F412" t="str">
        <f>"Yee Foo"</f>
        <v>Yee Foo</v>
      </c>
      <c r="G412" t="str">
        <f>"dehkadehketab"</f>
        <v>dehkadehketab</v>
      </c>
    </row>
    <row r="413" spans="1:7" x14ac:dyDescent="0.25">
      <c r="A413" t="str">
        <f>"Chemical Equilibria"</f>
        <v>Chemical Equilibria</v>
      </c>
      <c r="B413" t="str">
        <f>"9781848218673"</f>
        <v>9781848218673</v>
      </c>
      <c r="C413">
        <v>104</v>
      </c>
      <c r="D413" t="str">
        <f>"USD"</f>
        <v>USD</v>
      </c>
      <c r="E413" t="str">
        <f>"2015"</f>
        <v>2015</v>
      </c>
      <c r="F413" t="str">
        <f>"Soustelle"</f>
        <v>Soustelle</v>
      </c>
      <c r="G413" t="str">
        <f>"avanddanesh"</f>
        <v>avanddanesh</v>
      </c>
    </row>
    <row r="414" spans="1:7" x14ac:dyDescent="0.25">
      <c r="A414" t="str">
        <f>"CHEMICAL INFORMATION MINING FACILITATING LITERATURE-BAS"</f>
        <v>CHEMICAL INFORMATION MINING FACILITATING LITERATURE-BAS</v>
      </c>
      <c r="B414" t="str">
        <f>"9781420076493"</f>
        <v>9781420076493</v>
      </c>
      <c r="C414">
        <v>20.99</v>
      </c>
      <c r="D414" t="str">
        <f>"GBP"</f>
        <v>GBP</v>
      </c>
      <c r="E414" t="str">
        <f>"2009"</f>
        <v>2009</v>
      </c>
      <c r="F414" t="str">
        <f>"DEBRA L. BANVILLE"</f>
        <v>DEBRA L. BANVILLE</v>
      </c>
      <c r="G414" t="str">
        <f>"AsarBartar"</f>
        <v>AsarBartar</v>
      </c>
    </row>
    <row r="415" spans="1:7" x14ac:dyDescent="0.25">
      <c r="A415" t="str">
        <f>"Chemical Ligation: Tools for Biomolecule Synthesis and Modification"</f>
        <v>Chemical Ligation: Tools for Biomolecule Synthesis and Modification</v>
      </c>
      <c r="B415" t="str">
        <f>"9781119044109"</f>
        <v>9781119044109</v>
      </c>
      <c r="C415">
        <v>175.5</v>
      </c>
      <c r="D415" t="str">
        <f>"USD"</f>
        <v>USD</v>
      </c>
      <c r="E415" t="str">
        <f>"2017"</f>
        <v>2017</v>
      </c>
      <c r="F415" t="str">
        <f>"D'Andrea"</f>
        <v>D'Andrea</v>
      </c>
      <c r="G415" t="str">
        <f>"avanddanesh"</f>
        <v>avanddanesh</v>
      </c>
    </row>
    <row r="416" spans="1:7" x14ac:dyDescent="0.25">
      <c r="A416" t="str">
        <f>"CHEMICAL MODIFICATION OF BIOL POLY"</f>
        <v>CHEMICAL MODIFICATION OF BIOL POLY</v>
      </c>
      <c r="B416" t="str">
        <f>"9781439848982"</f>
        <v>9781439848982</v>
      </c>
      <c r="C416">
        <v>70.8</v>
      </c>
      <c r="D416" t="str">
        <f>"GBP"</f>
        <v>GBP</v>
      </c>
      <c r="E416" t="str">
        <f>"2012"</f>
        <v>2012</v>
      </c>
      <c r="F416" t="str">
        <f>"LUNDBLAD"</f>
        <v>LUNDBLAD</v>
      </c>
      <c r="G416" t="str">
        <f>"AsarBartar"</f>
        <v>AsarBartar</v>
      </c>
    </row>
    <row r="417" spans="1:7" x14ac:dyDescent="0.25">
      <c r="A417" t="str">
        <f>"Chemical Principles"</f>
        <v>Chemical Principles</v>
      </c>
      <c r="B417" t="str">
        <f>"9780618372065"</f>
        <v>9780618372065</v>
      </c>
      <c r="C417">
        <v>21</v>
      </c>
      <c r="D417" t="str">
        <f>"USD"</f>
        <v>USD</v>
      </c>
      <c r="E417" t="str">
        <f>"2004"</f>
        <v>2004</v>
      </c>
      <c r="F417" t="str">
        <f>"Steven S. Zumda"</f>
        <v>Steven S. Zumda</v>
      </c>
      <c r="G417" t="str">
        <f>"kowkab"</f>
        <v>kowkab</v>
      </c>
    </row>
    <row r="418" spans="1:7" x14ac:dyDescent="0.25">
      <c r="A418" t="str">
        <f>"Chemical Process Design and Integration,2e"</f>
        <v>Chemical Process Design and Integration,2e</v>
      </c>
      <c r="B418" t="str">
        <f>"9781119990130"</f>
        <v>9781119990130</v>
      </c>
      <c r="C418">
        <v>55.3</v>
      </c>
      <c r="D418" t="str">
        <f>"USD"</f>
        <v>USD</v>
      </c>
      <c r="E418" t="str">
        <f>"2016"</f>
        <v>2016</v>
      </c>
      <c r="F418" t="str">
        <f>"Smith"</f>
        <v>Smith</v>
      </c>
      <c r="G418" t="str">
        <f>"avanddanesh"</f>
        <v>avanddanesh</v>
      </c>
    </row>
    <row r="419" spans="1:7" x14ac:dyDescent="0.25">
      <c r="A419" t="str">
        <f>"Chemical Reaction Engineering"</f>
        <v>Chemical Reaction Engineering</v>
      </c>
      <c r="B419" t="str">
        <f>"9780124104167"</f>
        <v>9780124104167</v>
      </c>
      <c r="C419">
        <v>117</v>
      </c>
      <c r="D419" t="str">
        <f>"USD"</f>
        <v>USD</v>
      </c>
      <c r="E419" t="str">
        <f>"2017"</f>
        <v>2017</v>
      </c>
      <c r="F419" t="str">
        <f>"Li, Shaofen"</f>
        <v>Li, Shaofen</v>
      </c>
      <c r="G419" t="str">
        <f>"dehkadehketab"</f>
        <v>dehkadehketab</v>
      </c>
    </row>
    <row r="420" spans="1:7" x14ac:dyDescent="0.25">
      <c r="A420" t="str">
        <f>"Chemical Reaction Kinetics: Concepts, Methods and Case Studies"</f>
        <v>Chemical Reaction Kinetics: Concepts, Methods and Case Studies</v>
      </c>
      <c r="B420" t="str">
        <f>"9781119226642"</f>
        <v>9781119226642</v>
      </c>
      <c r="C420">
        <v>81</v>
      </c>
      <c r="D420" t="str">
        <f>"USD"</f>
        <v>USD</v>
      </c>
      <c r="E420" t="str">
        <f>"2017"</f>
        <v>2017</v>
      </c>
      <c r="F420" t="str">
        <f>"Ancheyta"</f>
        <v>Ancheyta</v>
      </c>
      <c r="G420" t="str">
        <f>"avanddanesh"</f>
        <v>avanddanesh</v>
      </c>
    </row>
    <row r="421" spans="1:7" x14ac:dyDescent="0.25">
      <c r="A421" t="str">
        <f>"Chemical Reactions: Basic Theory and Computing"</f>
        <v>Chemical Reactions: Basic Theory and Computing</v>
      </c>
      <c r="B421" t="str">
        <f>"9783319623559"</f>
        <v>9783319623559</v>
      </c>
      <c r="C421">
        <v>69.290000000000006</v>
      </c>
      <c r="D421" t="str">
        <f>"EUR"</f>
        <v>EUR</v>
      </c>
      <c r="E421" t="str">
        <f>"2018"</f>
        <v>2018</v>
      </c>
      <c r="F421" t="str">
        <f>"LaganÃ "</f>
        <v>LaganÃ </v>
      </c>
      <c r="G421" t="str">
        <f>"negarestanabi"</f>
        <v>negarestanabi</v>
      </c>
    </row>
    <row r="422" spans="1:7" x14ac:dyDescent="0.25">
      <c r="A422" t="str">
        <f>"Chemical Synthesis of Hormones, Pheromones and Other Bioregulators"</f>
        <v>Chemical Synthesis of Hormones, Pheromones and Other Bioregulators</v>
      </c>
      <c r="B422" t="str">
        <f>"9780470697238"</f>
        <v>9780470697238</v>
      </c>
      <c r="C422">
        <v>50.25</v>
      </c>
      <c r="D422" t="str">
        <f t="shared" ref="D422:D427" si="34">"USD"</f>
        <v>USD</v>
      </c>
      <c r="E422" t="str">
        <f>"2010"</f>
        <v>2010</v>
      </c>
      <c r="F422" t="str">
        <f>"Mori"</f>
        <v>Mori</v>
      </c>
      <c r="G422" t="str">
        <f>"safirketab"</f>
        <v>safirketab</v>
      </c>
    </row>
    <row r="423" spans="1:7" x14ac:dyDescent="0.25">
      <c r="A423" t="str">
        <f>"Chemical Synthesis of Nucleoside Analogues"</f>
        <v>Chemical Synthesis of Nucleoside Analogues</v>
      </c>
      <c r="B423" t="str">
        <f>"9781118007518"</f>
        <v>9781118007518</v>
      </c>
      <c r="C423">
        <v>125.5</v>
      </c>
      <c r="D423" t="str">
        <f t="shared" si="34"/>
        <v>USD</v>
      </c>
      <c r="E423" t="str">
        <f>"2013"</f>
        <v>2013</v>
      </c>
      <c r="F423" t="str">
        <f>"Merino"</f>
        <v>Merino</v>
      </c>
      <c r="G423" t="str">
        <f>"avanddanesh"</f>
        <v>avanddanesh</v>
      </c>
    </row>
    <row r="424" spans="1:7" x14ac:dyDescent="0.25">
      <c r="A424" t="str">
        <f>"Chemical Synthesis Using Highly Reactive Metals"</f>
        <v>Chemical Synthesis Using Highly Reactive Metals</v>
      </c>
      <c r="B424" t="str">
        <f>"9781118929117"</f>
        <v>9781118929117</v>
      </c>
      <c r="C424">
        <v>135</v>
      </c>
      <c r="D424" t="str">
        <f t="shared" si="34"/>
        <v>USD</v>
      </c>
      <c r="E424" t="str">
        <f>"2017"</f>
        <v>2017</v>
      </c>
      <c r="F424" t="str">
        <f>"Rieke"</f>
        <v>Rieke</v>
      </c>
      <c r="G424" t="str">
        <f>"avanddanesh"</f>
        <v>avanddanesh</v>
      </c>
    </row>
    <row r="425" spans="1:7" x14ac:dyDescent="0.25">
      <c r="A425" t="str">
        <f>"Chemical Weapons Convention Chemicals Analysis: Sample Collection, Preparation and Analytical Methods"</f>
        <v>Chemical Weapons Convention Chemicals Analysis: Sample Collection, Preparation and Analytical Methods</v>
      </c>
      <c r="B425" t="str">
        <f>"9780470847565"</f>
        <v>9780470847565</v>
      </c>
      <c r="C425">
        <v>270</v>
      </c>
      <c r="D425" t="str">
        <f t="shared" si="34"/>
        <v>USD</v>
      </c>
      <c r="E425" t="str">
        <f>"2005"</f>
        <v>2005</v>
      </c>
      <c r="F425" t="str">
        <f>"Analytical Chemistry"</f>
        <v>Analytical Chemistry</v>
      </c>
      <c r="G425" t="str">
        <f>"safirketab"</f>
        <v>safirketab</v>
      </c>
    </row>
    <row r="426" spans="1:7" x14ac:dyDescent="0.25">
      <c r="A426" t="str">
        <f>"Chemically Modified Electrodes"</f>
        <v>Chemically Modified Electrodes</v>
      </c>
      <c r="B426" t="str">
        <f>"9783527314201"</f>
        <v>9783527314201</v>
      </c>
      <c r="C426">
        <v>163.80000000000001</v>
      </c>
      <c r="D426" t="str">
        <f t="shared" si="34"/>
        <v>USD</v>
      </c>
      <c r="E426" t="str">
        <f>"2009"</f>
        <v>2009</v>
      </c>
      <c r="F426" t="str">
        <f>"Alkire"</f>
        <v>Alkire</v>
      </c>
      <c r="G426" t="str">
        <f>"safirketab"</f>
        <v>safirketab</v>
      </c>
    </row>
    <row r="427" spans="1:7" x14ac:dyDescent="0.25">
      <c r="A427" t="str">
        <f>"Chemicals and Fuels from Bio-based Building Blocks 2V Set"</f>
        <v>Chemicals and Fuels from Bio-based Building Blocks 2V Set</v>
      </c>
      <c r="B427" t="str">
        <f>"9783527338979"</f>
        <v>9783527338979</v>
      </c>
      <c r="C427">
        <v>276.3</v>
      </c>
      <c r="D427" t="str">
        <f t="shared" si="34"/>
        <v>USD</v>
      </c>
      <c r="E427" t="str">
        <f>"2016"</f>
        <v>2016</v>
      </c>
      <c r="F427" t="str">
        <f>"Cavani"</f>
        <v>Cavani</v>
      </c>
      <c r="G427" t="str">
        <f>"avanddanesh"</f>
        <v>avanddanesh</v>
      </c>
    </row>
    <row r="428" spans="1:7" x14ac:dyDescent="0.25">
      <c r="A428" t="str">
        <f>"CHEMISCHE TRANSPORTREAKTIONEN"</f>
        <v>CHEMISCHE TRANSPORTREAKTIONEN</v>
      </c>
      <c r="B428" t="str">
        <f>"9783110248968"</f>
        <v>9783110248968</v>
      </c>
      <c r="C428">
        <v>26.98</v>
      </c>
      <c r="D428" t="str">
        <f>"EUR"</f>
        <v>EUR</v>
      </c>
      <c r="E428" t="str">
        <f>"2011"</f>
        <v>2011</v>
      </c>
      <c r="F428" t="str">
        <f>"BINNEWIES, MICHAEL;"</f>
        <v>BINNEWIES, MICHAEL;</v>
      </c>
      <c r="G428" t="str">
        <f>"AsarBartar"</f>
        <v>AsarBartar</v>
      </c>
    </row>
    <row r="429" spans="1:7" x14ac:dyDescent="0.25">
      <c r="A429" t="str">
        <f>"CHEMISTRY"</f>
        <v>CHEMISTRY</v>
      </c>
      <c r="B429" t="str">
        <f>"9781259253355"</f>
        <v>9781259253355</v>
      </c>
      <c r="C429">
        <v>85</v>
      </c>
      <c r="D429" t="str">
        <f t="shared" ref="D429:D437" si="35">"USD"</f>
        <v>USD</v>
      </c>
      <c r="E429" t="str">
        <f>"2016"</f>
        <v>2016</v>
      </c>
      <c r="F429" t="str">
        <f>"BURDGE"</f>
        <v>BURDGE</v>
      </c>
      <c r="G429" t="str">
        <f>"safirketab"</f>
        <v>safirketab</v>
      </c>
    </row>
    <row r="430" spans="1:7" x14ac:dyDescent="0.25">
      <c r="A430" t="str">
        <f>"Chemistry - An Atoms-Focused Approach 2e                                                                                                                "</f>
        <v xml:space="preserve">Chemistry - An Atoms-Focused Approach 2e                                                                                                                </v>
      </c>
      <c r="B430" t="str">
        <f>"9780393615203"</f>
        <v>9780393615203</v>
      </c>
      <c r="C430">
        <v>121.92</v>
      </c>
      <c r="D430" t="str">
        <f t="shared" si="35"/>
        <v>USD</v>
      </c>
      <c r="E430" t="str">
        <f>"2017"</f>
        <v>2017</v>
      </c>
      <c r="F430" t="str">
        <f>"Gilbert        "</f>
        <v xml:space="preserve">Gilbert        </v>
      </c>
      <c r="G430" t="str">
        <f>"safirketab"</f>
        <v>safirketab</v>
      </c>
    </row>
    <row r="431" spans="1:7" x14ac:dyDescent="0.25">
      <c r="A431" t="str">
        <f>"Chemistry - An Atoms-Focused Approach 2e                                                                                                                "</f>
        <v xml:space="preserve">Chemistry - An Atoms-Focused Approach 2e                                                                                                                </v>
      </c>
      <c r="B431" t="str">
        <f>"9780393615203"</f>
        <v>9780393615203</v>
      </c>
      <c r="C431">
        <v>121.92</v>
      </c>
      <c r="D431" t="str">
        <f t="shared" si="35"/>
        <v>USD</v>
      </c>
      <c r="E431" t="str">
        <f>"2017"</f>
        <v>2017</v>
      </c>
      <c r="F431" t="str">
        <f>"Gilbert        "</f>
        <v xml:space="preserve">Gilbert        </v>
      </c>
      <c r="G431" t="str">
        <f>"jahanadib"</f>
        <v>jahanadib</v>
      </c>
    </row>
    <row r="432" spans="1:7" x14ac:dyDescent="0.25">
      <c r="A432" t="str">
        <f>"Chemistry - The Science in Context 5e                                                                                                                   "</f>
        <v xml:space="preserve">Chemistry - The Science in Context 5e                                                                                                                   </v>
      </c>
      <c r="B432" t="str">
        <f>"9780393615159"</f>
        <v>9780393615159</v>
      </c>
      <c r="C432">
        <v>121.92</v>
      </c>
      <c r="D432" t="str">
        <f t="shared" si="35"/>
        <v>USD</v>
      </c>
      <c r="E432" t="str">
        <f>"2017"</f>
        <v>2017</v>
      </c>
      <c r="F432" t="str">
        <f>"Bretz          "</f>
        <v xml:space="preserve">Bretz          </v>
      </c>
      <c r="G432" t="str">
        <f>"jahanadib"</f>
        <v>jahanadib</v>
      </c>
    </row>
    <row r="433" spans="1:7" x14ac:dyDescent="0.25">
      <c r="A433" t="str">
        <f>"Chemistry - The Science in Context 5e                                                                                                                   "</f>
        <v xml:space="preserve">Chemistry - The Science in Context 5e                                                                                                                   </v>
      </c>
      <c r="B433" t="str">
        <f>"9780393615159"</f>
        <v>9780393615159</v>
      </c>
      <c r="C433">
        <v>121.92</v>
      </c>
      <c r="D433" t="str">
        <f t="shared" si="35"/>
        <v>USD</v>
      </c>
      <c r="E433" t="str">
        <f>"2017"</f>
        <v>2017</v>
      </c>
      <c r="F433" t="str">
        <f>"Bretz          "</f>
        <v xml:space="preserve">Bretz          </v>
      </c>
      <c r="G433" t="str">
        <f>"safirketab"</f>
        <v>safirketab</v>
      </c>
    </row>
    <row r="434" spans="1:7" x14ac:dyDescent="0.25">
      <c r="A434" t="str">
        <f>"Chemistry and Analysis of Radionuclides: Laboratory Techniques and Methodology"</f>
        <v>Chemistry and Analysis of Radionuclides: Laboratory Techniques and Methodology</v>
      </c>
      <c r="B434" t="str">
        <f>"9783527326587"</f>
        <v>9783527326587</v>
      </c>
      <c r="C434">
        <v>54.4</v>
      </c>
      <c r="D434" t="str">
        <f t="shared" si="35"/>
        <v>USD</v>
      </c>
      <c r="E434" t="str">
        <f>"2010"</f>
        <v>2010</v>
      </c>
      <c r="F434" t="str">
        <f>"Lehto"</f>
        <v>Lehto</v>
      </c>
      <c r="G434" t="str">
        <f>"avanddanesh"</f>
        <v>avanddanesh</v>
      </c>
    </row>
    <row r="435" spans="1:7" x14ac:dyDescent="0.25">
      <c r="A435" t="str">
        <f>"Chemistry and Biochemistry of Oxygen Therapeutics: From Transfusion to Artificial Blood"</f>
        <v>Chemistry and Biochemistry of Oxygen Therapeutics: From Transfusion to Artificial Blood</v>
      </c>
      <c r="B435" t="str">
        <f>"9780470686683"</f>
        <v>9780470686683</v>
      </c>
      <c r="C435">
        <v>62</v>
      </c>
      <c r="D435" t="str">
        <f t="shared" si="35"/>
        <v>USD</v>
      </c>
      <c r="E435" t="str">
        <f>"2011"</f>
        <v>2011</v>
      </c>
      <c r="F435" t="str">
        <f>"Mozzarelli"</f>
        <v>Mozzarelli</v>
      </c>
      <c r="G435" t="str">
        <f>"avanddanesh"</f>
        <v>avanddanesh</v>
      </c>
    </row>
    <row r="436" spans="1:7" x14ac:dyDescent="0.25">
      <c r="A436" t="str">
        <f>"Chemistry and Biology of Volatiles"</f>
        <v>Chemistry and Biology of Volatiles</v>
      </c>
      <c r="B436" t="str">
        <f>"9780470777787"</f>
        <v>9780470777787</v>
      </c>
      <c r="C436">
        <v>54</v>
      </c>
      <c r="D436" t="str">
        <f t="shared" si="35"/>
        <v>USD</v>
      </c>
      <c r="E436" t="str">
        <f>"2010"</f>
        <v>2010</v>
      </c>
      <c r="F436" t="str">
        <f>"Herrmann"</f>
        <v>Herrmann</v>
      </c>
      <c r="G436" t="str">
        <f>"avanddanesh"</f>
        <v>avanddanesh</v>
      </c>
    </row>
    <row r="437" spans="1:7" x14ac:dyDescent="0.25">
      <c r="A437" t="str">
        <f>"Chemistry and Biology of Volatiles"</f>
        <v>Chemistry and Biology of Volatiles</v>
      </c>
      <c r="B437" t="str">
        <f>"9780470777787"</f>
        <v>9780470777787</v>
      </c>
      <c r="C437">
        <v>54</v>
      </c>
      <c r="D437" t="str">
        <f t="shared" si="35"/>
        <v>USD</v>
      </c>
      <c r="E437" t="str">
        <f>"2010"</f>
        <v>2010</v>
      </c>
      <c r="F437" t="str">
        <f>"Herrmann"</f>
        <v>Herrmann</v>
      </c>
      <c r="G437" t="str">
        <f>"safirketab"</f>
        <v>safirketab</v>
      </c>
    </row>
    <row r="438" spans="1:7" x14ac:dyDescent="0.25">
      <c r="A438" t="str">
        <f>"Chemistry and Chemical Biology: Methodologies and Applications (AAP Research Notes on Chemistry)"</f>
        <v>Chemistry and Chemical Biology: Methodologies and Applications (AAP Research Notes on Chemistry)</v>
      </c>
      <c r="B438" t="str">
        <f>"9781771880183"</f>
        <v>9781771880183</v>
      </c>
      <c r="C438">
        <v>86.7</v>
      </c>
      <c r="D438" t="str">
        <f>"GBP"</f>
        <v>GBP</v>
      </c>
      <c r="E438" t="str">
        <f>"2015"</f>
        <v>2015</v>
      </c>
      <c r="F438" t="str">
        <f>"Andrei A. Dalinkevi"</f>
        <v>Andrei A. Dalinkevi</v>
      </c>
      <c r="G438" t="str">
        <f>"AsarBartar"</f>
        <v>AsarBartar</v>
      </c>
    </row>
    <row r="439" spans="1:7" x14ac:dyDescent="0.25">
      <c r="A439" t="str">
        <f>"Chemistry and Physics of Complex Materials: Concepts and Applications"</f>
        <v>Chemistry and Physics of Complex Materials: Concepts and Applications</v>
      </c>
      <c r="B439" t="str">
        <f>"9781926895604"</f>
        <v>9781926895604</v>
      </c>
      <c r="C439">
        <v>97.6</v>
      </c>
      <c r="D439" t="str">
        <f>"GBP"</f>
        <v>GBP</v>
      </c>
      <c r="E439" t="str">
        <f>"2014"</f>
        <v>2014</v>
      </c>
      <c r="F439" t="str">
        <f>"Zbigniew Wertejuk(E"</f>
        <v>Zbigniew Wertejuk(E</v>
      </c>
      <c r="G439" t="str">
        <f>"AsarBartar"</f>
        <v>AsarBartar</v>
      </c>
    </row>
    <row r="440" spans="1:7" x14ac:dyDescent="0.25">
      <c r="A440" t="str">
        <f>"Chemistry and Physics of Mechanical Hardness"</f>
        <v>Chemistry and Physics of Mechanical Hardness</v>
      </c>
      <c r="B440" t="str">
        <f>"9780470226520"</f>
        <v>9780470226520</v>
      </c>
      <c r="C440">
        <v>74.959999999999994</v>
      </c>
      <c r="D440" t="str">
        <f>"USD"</f>
        <v>USD</v>
      </c>
      <c r="E440" t="str">
        <f>"2009"</f>
        <v>2009</v>
      </c>
      <c r="F440" t="str">
        <f>"Gilman"</f>
        <v>Gilman</v>
      </c>
      <c r="G440" t="str">
        <f>"safirketab"</f>
        <v>safirketab</v>
      </c>
    </row>
    <row r="441" spans="1:7" x14ac:dyDescent="0.25">
      <c r="A441" t="str">
        <f>"Chemistry and the Sense of Smell"</f>
        <v>Chemistry and the Sense of Smell</v>
      </c>
      <c r="B441" t="str">
        <f>"9780470551301"</f>
        <v>9780470551301</v>
      </c>
      <c r="C441">
        <v>116.2</v>
      </c>
      <c r="D441" t="str">
        <f>"USD"</f>
        <v>USD</v>
      </c>
      <c r="E441" t="str">
        <f>"2014"</f>
        <v>2014</v>
      </c>
      <c r="F441" t="str">
        <f>"Sell"</f>
        <v>Sell</v>
      </c>
      <c r="G441" t="str">
        <f>"avanddanesh"</f>
        <v>avanddanesh</v>
      </c>
    </row>
    <row r="442" spans="1:7" x14ac:dyDescent="0.25">
      <c r="A442" t="str">
        <f>"Chemistry and Water, The Science Behind Sustaining the World's Most Crucial Resource"</f>
        <v>Chemistry and Water, The Science Behind Sustaining the World's Most Crucial Resource</v>
      </c>
      <c r="B442" t="str">
        <f>"9780128093306"</f>
        <v>9780128093306</v>
      </c>
      <c r="C442">
        <v>148.5</v>
      </c>
      <c r="D442" t="str">
        <f>"USD"</f>
        <v>USD</v>
      </c>
      <c r="E442" t="str">
        <f>"2016"</f>
        <v>2016</v>
      </c>
      <c r="F442" t="str">
        <f>"Ahuja"</f>
        <v>Ahuja</v>
      </c>
      <c r="G442" t="str">
        <f>"arang"</f>
        <v>arang</v>
      </c>
    </row>
    <row r="443" spans="1:7" x14ac:dyDescent="0.25">
      <c r="A443" t="str">
        <f>"Chemistry as a Game of Molecular Construction: The Bond-Click Way"</f>
        <v>Chemistry as a Game of Molecular Construction: The Bond-Click Way</v>
      </c>
      <c r="B443" t="str">
        <f>"9781119001409"</f>
        <v>9781119001409</v>
      </c>
      <c r="C443">
        <v>85</v>
      </c>
      <c r="D443" t="str">
        <f>"USD"</f>
        <v>USD</v>
      </c>
      <c r="E443" t="str">
        <f>"2016"</f>
        <v>2016</v>
      </c>
      <c r="F443" t="str">
        <f>"Shaik"</f>
        <v>Shaik</v>
      </c>
      <c r="G443" t="str">
        <f>"avanddanesh"</f>
        <v>avanddanesh</v>
      </c>
    </row>
    <row r="444" spans="1:7" x14ac:dyDescent="0.25">
      <c r="A444" t="str">
        <f>"CHEMISTRY COMPANION, THE"</f>
        <v>CHEMISTRY COMPANION, THE</v>
      </c>
      <c r="B444" t="str">
        <f>"9781439830888"</f>
        <v>9781439830888</v>
      </c>
      <c r="C444">
        <v>15</v>
      </c>
      <c r="D444" t="str">
        <f>"GBP"</f>
        <v>GBP</v>
      </c>
      <c r="E444" t="str">
        <f>"2012"</f>
        <v>2012</v>
      </c>
      <c r="F444" t="str">
        <f>"FISCHER-CRIPPS"</f>
        <v>FISCHER-CRIPPS</v>
      </c>
      <c r="G444" t="str">
        <f>"AsarBartar"</f>
        <v>AsarBartar</v>
      </c>
    </row>
    <row r="445" spans="1:7" x14ac:dyDescent="0.25">
      <c r="A445" t="str">
        <f>"Chemistry Education- Best Practices, Opportunities and Trends"</f>
        <v>Chemistry Education- Best Practices, Opportunities and Trends</v>
      </c>
      <c r="B445" t="str">
        <f>"9783527336050"</f>
        <v>9783527336050</v>
      </c>
      <c r="C445">
        <v>200</v>
      </c>
      <c r="D445" t="str">
        <f>"USD"</f>
        <v>USD</v>
      </c>
      <c r="E445" t="str">
        <f>"2015"</f>
        <v>2015</v>
      </c>
      <c r="F445" t="str">
        <f>"Garc?a-Mart?nez"</f>
        <v>Garc?a-Mart?nez</v>
      </c>
      <c r="G445" t="str">
        <f>"avanddanesh"</f>
        <v>avanddanesh</v>
      </c>
    </row>
    <row r="446" spans="1:7" x14ac:dyDescent="0.25">
      <c r="A446" t="str">
        <f>"Chemistry For Dummies Education Bundle"</f>
        <v>Chemistry For Dummies Education Bundle</v>
      </c>
      <c r="B446" t="str">
        <f>"9780470537015"</f>
        <v>9780470537015</v>
      </c>
      <c r="C446">
        <v>22.49</v>
      </c>
      <c r="D446" t="str">
        <f>"USD"</f>
        <v>USD</v>
      </c>
      <c r="E446" t="str">
        <f>"2009"</f>
        <v>2009</v>
      </c>
      <c r="F446" t="str">
        <f>"Wiley"</f>
        <v>Wiley</v>
      </c>
      <c r="G446" t="str">
        <f>"safirketab"</f>
        <v>safirketab</v>
      </c>
    </row>
    <row r="447" spans="1:7" x14ac:dyDescent="0.25">
      <c r="A447" t="str">
        <f>"Chemistry For Dummies,2e"</f>
        <v>Chemistry For Dummies,2e</v>
      </c>
      <c r="B447" t="str">
        <f>"9781119293460"</f>
        <v>9781119293460</v>
      </c>
      <c r="C447">
        <v>17</v>
      </c>
      <c r="D447" t="str">
        <f>"USD"</f>
        <v>USD</v>
      </c>
      <c r="E447" t="str">
        <f>"2016"</f>
        <v>2016</v>
      </c>
      <c r="F447" t="str">
        <f>"Moore"</f>
        <v>Moore</v>
      </c>
      <c r="G447" t="str">
        <f>"avanddanesh"</f>
        <v>avanddanesh</v>
      </c>
    </row>
    <row r="448" spans="1:7" x14ac:dyDescent="0.25">
      <c r="A448" t="str">
        <f>"Chemistry For Engineers"</f>
        <v>Chemistry For Engineers</v>
      </c>
      <c r="B448" t="str">
        <f>"9781783322589"</f>
        <v>9781783322589</v>
      </c>
      <c r="C448">
        <v>52.5</v>
      </c>
      <c r="D448" t="str">
        <f>"GBP"</f>
        <v>GBP</v>
      </c>
      <c r="E448" t="str">
        <f>"2016"</f>
        <v>2016</v>
      </c>
      <c r="F448" t="str">
        <f>"Parmar"</f>
        <v>Parmar</v>
      </c>
      <c r="G448" t="str">
        <f>"jahanadib"</f>
        <v>jahanadib</v>
      </c>
    </row>
    <row r="449" spans="1:7" x14ac:dyDescent="0.25">
      <c r="A449" t="str">
        <f>"Chemistry II For Dummies"</f>
        <v>Chemistry II For Dummies</v>
      </c>
      <c r="B449" t="str">
        <f>"9781118164907"</f>
        <v>9781118164907</v>
      </c>
      <c r="C449">
        <v>12</v>
      </c>
      <c r="D449" t="str">
        <f>"USD"</f>
        <v>USD</v>
      </c>
      <c r="E449" t="str">
        <f>"2012"</f>
        <v>2012</v>
      </c>
      <c r="F449" t="str">
        <f>"Moore"</f>
        <v>Moore</v>
      </c>
      <c r="G449" t="str">
        <f>"avanddanesh"</f>
        <v>avanddanesh</v>
      </c>
    </row>
    <row r="450" spans="1:7" x14ac:dyDescent="0.25">
      <c r="A450" t="str">
        <f>"Chemistry in Space: From Interstellar Matter to the Origin of Life"</f>
        <v>Chemistry in Space: From Interstellar Matter to the Origin of Life</v>
      </c>
      <c r="B450" t="str">
        <f>"9783527326891"</f>
        <v>9783527326891</v>
      </c>
      <c r="C450">
        <v>112.5</v>
      </c>
      <c r="D450" t="str">
        <f>"USD"</f>
        <v>USD</v>
      </c>
      <c r="E450" t="str">
        <f>"2010"</f>
        <v>2010</v>
      </c>
      <c r="F450" t="str">
        <f>"Rehder"</f>
        <v>Rehder</v>
      </c>
      <c r="G450" t="str">
        <f>"safirketab"</f>
        <v>safirketab</v>
      </c>
    </row>
    <row r="451" spans="1:7" x14ac:dyDescent="0.25">
      <c r="A451" t="str">
        <f>"Chemistry of Anilines, Part 1, 2V Set"</f>
        <v>Chemistry of Anilines, Part 1, 2V Set</v>
      </c>
      <c r="B451" t="str">
        <f>"9780470871713"</f>
        <v>9780470871713</v>
      </c>
      <c r="C451">
        <v>492</v>
      </c>
      <c r="D451" t="str">
        <f>"USD"</f>
        <v>USD</v>
      </c>
      <c r="E451" t="str">
        <f>"2007"</f>
        <v>2007</v>
      </c>
      <c r="F451" t="str">
        <f>"Rappoport"</f>
        <v>Rappoport</v>
      </c>
      <c r="G451" t="str">
        <f>"avanddanesh"</f>
        <v>avanddanesh</v>
      </c>
    </row>
    <row r="452" spans="1:7" x14ac:dyDescent="0.25">
      <c r="A452" t="str">
        <f>"Chemistry of Bioconjugates: Synthesis, Characterization, and Biomedical Applications"</f>
        <v>Chemistry of Bioconjugates: Synthesis, Characterization, and Biomedical Applications</v>
      </c>
      <c r="B452" t="str">
        <f>"9781118359143"</f>
        <v>9781118359143</v>
      </c>
      <c r="C452">
        <v>155.19999999999999</v>
      </c>
      <c r="D452" t="str">
        <f>"USD"</f>
        <v>USD</v>
      </c>
      <c r="E452" t="str">
        <f>"2014"</f>
        <v>2014</v>
      </c>
      <c r="F452" t="str">
        <f>"Narain"</f>
        <v>Narain</v>
      </c>
      <c r="G452" t="str">
        <f>"avanddanesh"</f>
        <v>avanddanesh</v>
      </c>
    </row>
    <row r="453" spans="1:7" x14ac:dyDescent="0.25">
      <c r="A453" t="str">
        <f>"Chemistry of Carbon Nanostructures"</f>
        <v>Chemistry of Carbon Nanostructures</v>
      </c>
      <c r="B453" t="str">
        <f>"9783110284508"</f>
        <v>9783110284508</v>
      </c>
      <c r="C453">
        <v>80.95</v>
      </c>
      <c r="D453" t="str">
        <f>"EUR"</f>
        <v>EUR</v>
      </c>
      <c r="E453" t="str">
        <f>"2017"</f>
        <v>2017</v>
      </c>
      <c r="F453" t="str">
        <f>"Klaus Muellen(Edito"</f>
        <v>Klaus Muellen(Edito</v>
      </c>
      <c r="G453" t="str">
        <f>"AsarBartar"</f>
        <v>AsarBartar</v>
      </c>
    </row>
    <row r="454" spans="1:7" x14ac:dyDescent="0.25">
      <c r="A454" t="str">
        <f>"Chemistry of Contrast Agents in Medical Magnetic Resonance Imaging,2e"</f>
        <v>Chemistry of Contrast Agents in Medical Magnetic Resonance Imaging,2e</v>
      </c>
      <c r="B454" t="str">
        <f>"9781119991762"</f>
        <v>9781119991762</v>
      </c>
      <c r="C454">
        <v>117</v>
      </c>
      <c r="D454" t="str">
        <f>"USD"</f>
        <v>USD</v>
      </c>
      <c r="E454" t="str">
        <f>"2013"</f>
        <v>2013</v>
      </c>
      <c r="F454" t="str">
        <f>"Merbach"</f>
        <v>Merbach</v>
      </c>
      <c r="G454" t="str">
        <f>"avanddanesh"</f>
        <v>avanddanesh</v>
      </c>
    </row>
    <row r="455" spans="1:7" x14ac:dyDescent="0.25">
      <c r="A455" t="str">
        <f>"Chemistry of Cyclobutanes 2V Set"</f>
        <v>Chemistry of Cyclobutanes 2V Set</v>
      </c>
      <c r="B455" t="str">
        <f>"9780470864005"</f>
        <v>9780470864005</v>
      </c>
      <c r="C455">
        <v>834</v>
      </c>
      <c r="D455" t="str">
        <f>"USD"</f>
        <v>USD</v>
      </c>
      <c r="E455" t="str">
        <f>"2005"</f>
        <v>2005</v>
      </c>
      <c r="F455" t="str">
        <f>"Rappoport"</f>
        <v>Rappoport</v>
      </c>
      <c r="G455" t="str">
        <f>"safirketab"</f>
        <v>safirketab</v>
      </c>
    </row>
    <row r="456" spans="1:7" x14ac:dyDescent="0.25">
      <c r="A456" t="str">
        <f>"CHEMISTRY OF DISCOTIC LIQUID CRYSTALS : FROM MONOMERS TO POLYMERS"</f>
        <v>CHEMISTRY OF DISCOTIC LIQUID CRYSTALS : FROM MONOMERS TO POLYMERS</v>
      </c>
      <c r="B456" t="str">
        <f>"9781439811436"</f>
        <v>9781439811436</v>
      </c>
      <c r="C456">
        <v>38.1</v>
      </c>
      <c r="D456" t="str">
        <f>"GBP"</f>
        <v>GBP</v>
      </c>
      <c r="E456" t="str">
        <f>"2011"</f>
        <v>2011</v>
      </c>
      <c r="F456" t="str">
        <f>"KUMAR"</f>
        <v>KUMAR</v>
      </c>
      <c r="G456" t="str">
        <f>"AsarBartar"</f>
        <v>AsarBartar</v>
      </c>
    </row>
    <row r="457" spans="1:7" x14ac:dyDescent="0.25">
      <c r="A457" t="str">
        <f>"CHEMISTRY OF FUEL FURNACES AND D BLOCK ELEMENTS, HB"</f>
        <v>CHEMISTRY OF FUEL FURNACES AND D BLOCK ELEMENTS, HB</v>
      </c>
      <c r="B457" t="str">
        <f>"9788178845708"</f>
        <v>9788178845708</v>
      </c>
      <c r="C457">
        <v>17.5</v>
      </c>
      <c r="D457" t="str">
        <f>"USD"</f>
        <v>USD</v>
      </c>
      <c r="E457" t="str">
        <f>"2010"</f>
        <v>2010</v>
      </c>
      <c r="F457" t="str">
        <f>"Rathi"</f>
        <v>Rathi</v>
      </c>
      <c r="G457" t="str">
        <f>"supply"</f>
        <v>supply</v>
      </c>
    </row>
    <row r="458" spans="1:7" x14ac:dyDescent="0.25">
      <c r="A458" t="str">
        <f>"CHEMISTRY OF GEOMETRICAL AND OPTICAL ISOMERISM, HB"</f>
        <v>CHEMISTRY OF GEOMETRICAL AND OPTICAL ISOMERISM, HB</v>
      </c>
      <c r="B458" t="str">
        <f>"9788178845722"</f>
        <v>9788178845722</v>
      </c>
      <c r="C458">
        <v>16.38</v>
      </c>
      <c r="D458" t="str">
        <f>"USD"</f>
        <v>USD</v>
      </c>
      <c r="E458" t="str">
        <f>"2010"</f>
        <v>2010</v>
      </c>
      <c r="F458" t="str">
        <f>"Negi"</f>
        <v>Negi</v>
      </c>
      <c r="G458" t="str">
        <f>"supply"</f>
        <v>supply</v>
      </c>
    </row>
    <row r="459" spans="1:7" x14ac:dyDescent="0.25">
      <c r="A459" t="str">
        <f>"Chemistry of Heterocyclic Compounds, V17, Five- and Six-Membered Compounds with Nitrogen and Oxygen"</f>
        <v>Chemistry of Heterocyclic Compounds, V17, Five- and Six-Membered Compounds with Nitrogen and Oxygen</v>
      </c>
      <c r="B459" t="str">
        <f>"9780470381489"</f>
        <v>9780470381489</v>
      </c>
      <c r="C459">
        <v>236</v>
      </c>
      <c r="D459" t="str">
        <f>"USD"</f>
        <v>USD</v>
      </c>
      <c r="E459" t="str">
        <f>"2007"</f>
        <v>2007</v>
      </c>
      <c r="F459" t="str">
        <f>"Wiley"</f>
        <v>Wiley</v>
      </c>
      <c r="G459" t="str">
        <f>"avanddanesh"</f>
        <v>avanddanesh</v>
      </c>
    </row>
    <row r="460" spans="1:7" x14ac:dyDescent="0.25">
      <c r="A460" t="str">
        <f>"Chemistry of High-Energy Materials"</f>
        <v>Chemistry of High-Energy Materials</v>
      </c>
      <c r="B460" t="str">
        <f>"9783110536317"</f>
        <v>9783110536317</v>
      </c>
      <c r="C460">
        <v>53.95</v>
      </c>
      <c r="D460" t="str">
        <f>"EUR"</f>
        <v>EUR</v>
      </c>
      <c r="E460" t="str">
        <f>"2017"</f>
        <v>2017</v>
      </c>
      <c r="F460" t="str">
        <f>"Klap?tke, Thomas M."</f>
        <v>Klap?tke, Thomas M.</v>
      </c>
      <c r="G460" t="str">
        <f>"AsarBartar"</f>
        <v>AsarBartar</v>
      </c>
    </row>
    <row r="461" spans="1:7" x14ac:dyDescent="0.25">
      <c r="A461" t="str">
        <f>"Chemistry of Hydroxylamines, Oximes and Hydroxamic Acids 2V Set"</f>
        <v>Chemistry of Hydroxylamines, Oximes and Hydroxamic Acids 2V Set</v>
      </c>
      <c r="B461" t="str">
        <f>"9780470512616"</f>
        <v>9780470512616</v>
      </c>
      <c r="C461">
        <v>1582.5</v>
      </c>
      <c r="D461" t="str">
        <f t="shared" ref="D461:D478" si="36">"USD"</f>
        <v>USD</v>
      </c>
      <c r="E461" t="str">
        <f>"2009"</f>
        <v>2009</v>
      </c>
      <c r="F461" t="str">
        <f>"Rappoport"</f>
        <v>Rappoport</v>
      </c>
      <c r="G461" t="str">
        <f>"safirketab"</f>
        <v>safirketab</v>
      </c>
    </row>
    <row r="462" spans="1:7" x14ac:dyDescent="0.25">
      <c r="A462" t="str">
        <f>"Chemistry of Hydroxylamines, Oximes and Hydroxamic Acids, V2"</f>
        <v>Chemistry of Hydroxylamines, Oximes and Hydroxamic Acids, V2</v>
      </c>
      <c r="B462" t="str">
        <f>"9780470682630"</f>
        <v>9780470682630</v>
      </c>
      <c r="C462">
        <v>382</v>
      </c>
      <c r="D462" t="str">
        <f t="shared" si="36"/>
        <v>USD</v>
      </c>
      <c r="E462" t="str">
        <f>"2011"</f>
        <v>2011</v>
      </c>
      <c r="F462" t="str">
        <f>"Rappoport"</f>
        <v>Rappoport</v>
      </c>
      <c r="G462" t="str">
        <f>"safirketab"</f>
        <v>safirketab</v>
      </c>
    </row>
    <row r="463" spans="1:7" x14ac:dyDescent="0.25">
      <c r="A463" t="str">
        <f>"Chemistry of Hydroxylamines, Oximes and Hydroxamic Acids, V2, 2V Set"</f>
        <v>Chemistry of Hydroxylamines, Oximes and Hydroxamic Acids, V2, 2V Set</v>
      </c>
      <c r="B463" t="str">
        <f>"9780470682630"</f>
        <v>9780470682630</v>
      </c>
      <c r="C463">
        <v>382</v>
      </c>
      <c r="D463" t="str">
        <f t="shared" si="36"/>
        <v>USD</v>
      </c>
      <c r="E463" t="str">
        <f>"2011"</f>
        <v>2011</v>
      </c>
      <c r="F463" t="str">
        <f>"Rappoport"</f>
        <v>Rappoport</v>
      </c>
      <c r="G463" t="str">
        <f>"avanddanesh"</f>
        <v>avanddanesh</v>
      </c>
    </row>
    <row r="464" spans="1:7" x14ac:dyDescent="0.25">
      <c r="A464" t="str">
        <f>"Chemistry of Metal Enolates"</f>
        <v>Chemistry of Metal Enolates</v>
      </c>
      <c r="B464" t="str">
        <f>"9780470061688"</f>
        <v>9780470061688</v>
      </c>
      <c r="C464">
        <v>1042.5</v>
      </c>
      <c r="D464" t="str">
        <f t="shared" si="36"/>
        <v>USD</v>
      </c>
      <c r="E464" t="str">
        <f>"2009"</f>
        <v>2009</v>
      </c>
      <c r="F464" t="str">
        <f>"Zabicky"</f>
        <v>Zabicky</v>
      </c>
      <c r="G464" t="str">
        <f>"safirketab"</f>
        <v>safirketab</v>
      </c>
    </row>
    <row r="465" spans="1:7" x14ac:dyDescent="0.25">
      <c r="A465" t="str">
        <f>"Chemistry of Metal Enolates, V 2"</f>
        <v>Chemistry of Metal Enolates, V 2</v>
      </c>
      <c r="B465" t="str">
        <f>"9781119083290"</f>
        <v>9781119083290</v>
      </c>
      <c r="C465">
        <v>472.5</v>
      </c>
      <c r="D465" t="str">
        <f t="shared" si="36"/>
        <v>USD</v>
      </c>
      <c r="E465" t="str">
        <f>"2017"</f>
        <v>2017</v>
      </c>
      <c r="F465" t="str">
        <f>"Zabicky"</f>
        <v>Zabicky</v>
      </c>
      <c r="G465" t="str">
        <f>"avanddanesh"</f>
        <v>avanddanesh</v>
      </c>
    </row>
    <row r="466" spans="1:7" x14ac:dyDescent="0.25">
      <c r="A466" t="str">
        <f>"Chemistry of Metal Phenolates, Part [1,2]"</f>
        <v>Chemistry of Metal Phenolates, Part [1,2]</v>
      </c>
      <c r="B466" t="str">
        <f>"9780470973585"</f>
        <v>9780470973585</v>
      </c>
      <c r="C466">
        <v>813.8</v>
      </c>
      <c r="D466" t="str">
        <f t="shared" si="36"/>
        <v>USD</v>
      </c>
      <c r="E466" t="str">
        <f>"2014"</f>
        <v>2014</v>
      </c>
      <c r="F466" t="str">
        <f>"Zabicky"</f>
        <v>Zabicky</v>
      </c>
      <c r="G466" t="str">
        <f>"avanddanesh"</f>
        <v>avanddanesh</v>
      </c>
    </row>
    <row r="467" spans="1:7" x14ac:dyDescent="0.25">
      <c r="A467" t="str">
        <f>"Chemistry of Metal Phenolates, V 2"</f>
        <v>Chemistry of Metal Phenolates, V 2</v>
      </c>
      <c r="B467" t="str">
        <f>"9781119083283"</f>
        <v>9781119083283</v>
      </c>
      <c r="C467">
        <v>472.5</v>
      </c>
      <c r="D467" t="str">
        <f t="shared" si="36"/>
        <v>USD</v>
      </c>
      <c r="E467" t="str">
        <f>"2017"</f>
        <v>2017</v>
      </c>
      <c r="F467" t="str">
        <f>"Zabicky"</f>
        <v>Zabicky</v>
      </c>
      <c r="G467" t="str">
        <f>"avanddanesh"</f>
        <v>avanddanesh</v>
      </c>
    </row>
    <row r="468" spans="1:7" x14ac:dyDescent="0.25">
      <c r="A468" t="str">
        <f>"Chemistry of Metalloproteins: Problems and Solutions in Bioinorganic Chemistry"</f>
        <v>Chemistry of Metalloproteins: Problems and Solutions in Bioinorganic Chemistry</v>
      </c>
      <c r="B468" t="str">
        <f>"9781118470442"</f>
        <v>9781118470442</v>
      </c>
      <c r="C468">
        <v>96.8</v>
      </c>
      <c r="D468" t="str">
        <f t="shared" si="36"/>
        <v>USD</v>
      </c>
      <c r="E468" t="str">
        <f>"2014"</f>
        <v>2014</v>
      </c>
      <c r="F468" t="str">
        <f>"Stephanos"</f>
        <v>Stephanos</v>
      </c>
      <c r="G468" t="str">
        <f>"avanddanesh"</f>
        <v>avanddanesh</v>
      </c>
    </row>
    <row r="469" spans="1:7" x14ac:dyDescent="0.25">
      <c r="A469" t="str">
        <f>"Chemistry of Molecular Imaging"</f>
        <v>Chemistry of Molecular Imaging</v>
      </c>
      <c r="B469" t="str">
        <f>"9781118093276"</f>
        <v>9781118093276</v>
      </c>
      <c r="C469">
        <v>120</v>
      </c>
      <c r="D469" t="str">
        <f t="shared" si="36"/>
        <v>USD</v>
      </c>
      <c r="E469" t="str">
        <f>"2015"</f>
        <v>2015</v>
      </c>
      <c r="F469" t="str">
        <f>"Long"</f>
        <v>Long</v>
      </c>
      <c r="G469" t="str">
        <f>"avanddanesh"</f>
        <v>avanddanesh</v>
      </c>
    </row>
    <row r="470" spans="1:7" x14ac:dyDescent="0.25">
      <c r="A470" t="str">
        <f>"Chemistry of Natural Products, Volume 3"</f>
        <v>Chemistry of Natural Products, Volume 3</v>
      </c>
      <c r="B470" t="str">
        <f>"9788123925998"</f>
        <v>9788123925998</v>
      </c>
      <c r="C470">
        <v>18</v>
      </c>
      <c r="D470" t="str">
        <f t="shared" si="36"/>
        <v>USD</v>
      </c>
      <c r="E470" t="str">
        <f>"2015"</f>
        <v>2015</v>
      </c>
      <c r="F470" t="str">
        <f>"Ashutosh"</f>
        <v>Ashutosh</v>
      </c>
      <c r="G470" t="str">
        <f>"safirketab"</f>
        <v>safirketab</v>
      </c>
    </row>
    <row r="471" spans="1:7" x14ac:dyDescent="0.25">
      <c r="A471" t="str">
        <f>"Chemistry of Natural Products, Volume 3"</f>
        <v>Chemistry of Natural Products, Volume 3</v>
      </c>
      <c r="B471" t="str">
        <f>"9788123925998"</f>
        <v>9788123925998</v>
      </c>
      <c r="C471">
        <v>18</v>
      </c>
      <c r="D471" t="str">
        <f t="shared" si="36"/>
        <v>USD</v>
      </c>
      <c r="E471" t="str">
        <f>"2015"</f>
        <v>2015</v>
      </c>
      <c r="F471" t="str">
        <f>"Ashutosh"</f>
        <v>Ashutosh</v>
      </c>
      <c r="G471" t="str">
        <f>"jahanadib"</f>
        <v>jahanadib</v>
      </c>
    </row>
    <row r="472" spans="1:7" x14ac:dyDescent="0.25">
      <c r="A472" t="str">
        <f>"Chemistry of Organocopper Compounds"</f>
        <v>Chemistry of Organocopper Compounds</v>
      </c>
      <c r="B472" t="str">
        <f>"9780470772966"</f>
        <v>9780470772966</v>
      </c>
      <c r="C472">
        <v>492</v>
      </c>
      <c r="D472" t="str">
        <f t="shared" si="36"/>
        <v>USD</v>
      </c>
      <c r="E472" t="str">
        <f>"2010"</f>
        <v>2010</v>
      </c>
      <c r="F472" t="str">
        <f>"Rappoport"</f>
        <v>Rappoport</v>
      </c>
      <c r="G472" t="str">
        <f>"safirketab"</f>
        <v>safirketab</v>
      </c>
    </row>
    <row r="473" spans="1:7" x14ac:dyDescent="0.25">
      <c r="A473" t="str">
        <f>"Chemistry of Organocopper Compounds Set"</f>
        <v>Chemistry of Organocopper Compounds Set</v>
      </c>
      <c r="B473" t="str">
        <f>"9780470772966"</f>
        <v>9780470772966</v>
      </c>
      <c r="C473">
        <v>492</v>
      </c>
      <c r="D473" t="str">
        <f t="shared" si="36"/>
        <v>USD</v>
      </c>
      <c r="E473" t="str">
        <f>"2009"</f>
        <v>2009</v>
      </c>
      <c r="F473" t="str">
        <f>"Rappoport"</f>
        <v>Rappoport</v>
      </c>
      <c r="G473" t="str">
        <f>"avanddanesh"</f>
        <v>avanddanesh</v>
      </c>
    </row>
    <row r="474" spans="1:7" x14ac:dyDescent="0.25">
      <c r="A474" t="str">
        <f>"Chemistry of Organo-hybrids: Synthesis and Characterization of Functional Nano-Objects"</f>
        <v>Chemistry of Organo-hybrids: Synthesis and Characterization of Functional Nano-Objects</v>
      </c>
      <c r="B474" t="str">
        <f>"9781118379028"</f>
        <v>9781118379028</v>
      </c>
      <c r="C474">
        <v>124</v>
      </c>
      <c r="D474" t="str">
        <f t="shared" si="36"/>
        <v>USD</v>
      </c>
      <c r="E474" t="str">
        <f>"2015"</f>
        <v>2015</v>
      </c>
      <c r="F474" t="str">
        <f>"Charleux"</f>
        <v>Charleux</v>
      </c>
      <c r="G474" t="str">
        <f>"avanddanesh"</f>
        <v>avanddanesh</v>
      </c>
    </row>
    <row r="475" spans="1:7" x14ac:dyDescent="0.25">
      <c r="A475" t="str">
        <f>"Chemistry of Organolithium Compounds V2"</f>
        <v>Chemistry of Organolithium Compounds V2</v>
      </c>
      <c r="B475" t="str">
        <f>"9780470023211"</f>
        <v>9780470023211</v>
      </c>
      <c r="C475">
        <v>612</v>
      </c>
      <c r="D475" t="str">
        <f t="shared" si="36"/>
        <v>USD</v>
      </c>
      <c r="E475" t="str">
        <f>"2006"</f>
        <v>2006</v>
      </c>
      <c r="F475" t="str">
        <f>"Organic Chemistry"</f>
        <v>Organic Chemistry</v>
      </c>
      <c r="G475" t="str">
        <f>"safirketab"</f>
        <v>safirketab</v>
      </c>
    </row>
    <row r="476" spans="1:7" x14ac:dyDescent="0.25">
      <c r="A476" t="str">
        <f>"Chemistry of Organomagnesium Compounds 2V Set"</f>
        <v>Chemistry of Organomagnesium Compounds 2V Set</v>
      </c>
      <c r="B476" t="str">
        <f>"9780470057193"</f>
        <v>9780470057193</v>
      </c>
      <c r="C476">
        <v>414</v>
      </c>
      <c r="D476" t="str">
        <f t="shared" si="36"/>
        <v>USD</v>
      </c>
      <c r="E476" t="str">
        <f>"2008"</f>
        <v>2008</v>
      </c>
      <c r="F476" t="str">
        <f>"Rappoport"</f>
        <v>Rappoport</v>
      </c>
      <c r="G476" t="str">
        <f>"avanddanesh"</f>
        <v>avanddanesh</v>
      </c>
    </row>
    <row r="477" spans="1:7" x14ac:dyDescent="0.25">
      <c r="A477" t="str">
        <f>"Chemistry of Organomanganese Compounds: R - Mn"</f>
        <v>Chemistry of Organomanganese Compounds: R - Mn</v>
      </c>
      <c r="B477" t="str">
        <f>"9780470749074"</f>
        <v>9780470749074</v>
      </c>
      <c r="C477">
        <v>288</v>
      </c>
      <c r="D477" t="str">
        <f t="shared" si="36"/>
        <v>USD</v>
      </c>
      <c r="E477" t="str">
        <f>"2011"</f>
        <v>2011</v>
      </c>
      <c r="F477" t="str">
        <f>"Rappoport"</f>
        <v>Rappoport</v>
      </c>
      <c r="G477" t="str">
        <f>"avanddanesh"</f>
        <v>avanddanesh</v>
      </c>
    </row>
    <row r="478" spans="1:7" x14ac:dyDescent="0.25">
      <c r="A478" t="str">
        <f>"Chemistry of Organozinc Compounds: R-Zn (Set)"</f>
        <v>Chemistry of Organozinc Compounds: R-Zn (Set)</v>
      </c>
      <c r="B478" t="str">
        <f>"9780470093375"</f>
        <v>9780470093375</v>
      </c>
      <c r="C478">
        <v>774</v>
      </c>
      <c r="D478" t="str">
        <f t="shared" si="36"/>
        <v>USD</v>
      </c>
      <c r="E478" t="str">
        <f>"2006"</f>
        <v>2006</v>
      </c>
      <c r="F478" t="str">
        <f>"Rappoport-Chemistry"</f>
        <v>Rappoport-Chemistry</v>
      </c>
      <c r="G478" t="str">
        <f>"safirketab"</f>
        <v>safirketab</v>
      </c>
    </row>
    <row r="479" spans="1:7" x14ac:dyDescent="0.25">
      <c r="A479" t="str">
        <f>"CHEMISTRY OF THE CLIMATE SYSTEM"</f>
        <v>CHEMISTRY OF THE CLIMATE SYSTEM</v>
      </c>
      <c r="B479" t="str">
        <f>"9783110197914"</f>
        <v>9783110197914</v>
      </c>
      <c r="C479">
        <v>47.98</v>
      </c>
      <c r="D479" t="str">
        <f>"EUR"</f>
        <v>EUR</v>
      </c>
      <c r="E479" t="str">
        <f>"2010"</f>
        <v>2010</v>
      </c>
      <c r="F479" t="str">
        <f>"M?LLER, DETLEV"</f>
        <v>M?LLER, DETLEV</v>
      </c>
      <c r="G479" t="str">
        <f>"AsarBartar"</f>
        <v>AsarBartar</v>
      </c>
    </row>
    <row r="480" spans="1:7" x14ac:dyDescent="0.25">
      <c r="A480" t="str">
        <f>"Chemistry, 4/e:The Science in Context                                                                             "</f>
        <v xml:space="preserve">Chemistry, 4/e:The Science in Context                                                                             </v>
      </c>
      <c r="B480" t="str">
        <f>"9780393937084"</f>
        <v>9780393937084</v>
      </c>
      <c r="C480">
        <v>55.25</v>
      </c>
      <c r="D480" t="str">
        <f>"USD"</f>
        <v>USD</v>
      </c>
      <c r="E480" t="str">
        <f>"2014"</f>
        <v>2014</v>
      </c>
      <c r="F480" t="str">
        <f>"Gilbert        "</f>
        <v xml:space="preserve">Gilbert        </v>
      </c>
      <c r="G480" t="str">
        <f>"jahanadib"</f>
        <v>jahanadib</v>
      </c>
    </row>
    <row r="481" spans="1:7" x14ac:dyDescent="0.25">
      <c r="A481" t="str">
        <f>"Chemistry, Process Design, and Safety for the Nitration Industry (Acs Symposium Series)"</f>
        <v>Chemistry, Process Design, and Safety for the Nitration Industry (Acs Symposium Series)</v>
      </c>
      <c r="B481" t="str">
        <f>"9780841228863"</f>
        <v>9780841228863</v>
      </c>
      <c r="C481">
        <v>57.5</v>
      </c>
      <c r="D481" t="str">
        <f>"GBP"</f>
        <v>GBP</v>
      </c>
      <c r="E481" t="str">
        <f>"2014"</f>
        <v>2014</v>
      </c>
      <c r="F481" t="str">
        <f>"Thomas L. Guggenheim"</f>
        <v>Thomas L. Guggenheim</v>
      </c>
      <c r="G481" t="str">
        <f>"arzinbooks"</f>
        <v>arzinbooks</v>
      </c>
    </row>
    <row r="482" spans="1:7" x14ac:dyDescent="0.25">
      <c r="A482" t="str">
        <f>"Chemistry: A Guided Inquiry,5e"</f>
        <v>Chemistry: A Guided Inquiry,5e</v>
      </c>
      <c r="B482" t="str">
        <f>"9780470647905"</f>
        <v>9780470647905</v>
      </c>
      <c r="C482">
        <v>21</v>
      </c>
      <c r="D482" t="str">
        <f>"USD"</f>
        <v>USD</v>
      </c>
      <c r="E482" t="str">
        <f>"2011"</f>
        <v>2011</v>
      </c>
      <c r="F482" t="str">
        <f>"Moog"</f>
        <v>Moog</v>
      </c>
      <c r="G482" t="str">
        <f>"avanddanesh"</f>
        <v>avanddanesh</v>
      </c>
    </row>
    <row r="483" spans="1:7" x14ac:dyDescent="0.25">
      <c r="A483" t="str">
        <f>"Chemistry: An Atoms-Focused Approach                                                                       "</f>
        <v xml:space="preserve">Chemistry: An Atoms-Focused Approach                                                                       </v>
      </c>
      <c r="B483" t="str">
        <f>"9780393912340"</f>
        <v>9780393912340</v>
      </c>
      <c r="C483">
        <v>132.81</v>
      </c>
      <c r="D483" t="str">
        <f>"USD"</f>
        <v>USD</v>
      </c>
      <c r="E483" t="str">
        <f>"2013"</f>
        <v>2013</v>
      </c>
      <c r="F483" t="str">
        <f>"Gilbert        "</f>
        <v xml:space="preserve">Gilbert        </v>
      </c>
      <c r="G483" t="str">
        <f>"jahanadib"</f>
        <v>jahanadib</v>
      </c>
    </row>
    <row r="484" spans="1:7" x14ac:dyDescent="0.25">
      <c r="A484" t="str">
        <f>"Chemistry: Atoms First"</f>
        <v>Chemistry: Atoms First</v>
      </c>
      <c r="B484" t="str">
        <f>"9781259252174"</f>
        <v>9781259252174</v>
      </c>
      <c r="C484">
        <v>236.3</v>
      </c>
      <c r="D484" t="str">
        <f>"USD"</f>
        <v>USD</v>
      </c>
      <c r="E484" t="str">
        <f>"2014"</f>
        <v>2014</v>
      </c>
      <c r="F484" t="str">
        <f>"Julia Burdge"</f>
        <v>Julia Burdge</v>
      </c>
      <c r="G484" t="str">
        <f>"Parsian Publication"</f>
        <v>Parsian Publication</v>
      </c>
    </row>
    <row r="485" spans="1:7" x14ac:dyDescent="0.25">
      <c r="A485" t="str">
        <f>"CHEMISTRY: THE IMPURE SCIENCE (2ND EDITION)"</f>
        <v>CHEMISTRY: THE IMPURE SCIENCE (2ND EDITION)</v>
      </c>
      <c r="B485" t="str">
        <f>"9781848168114"</f>
        <v>9781848168114</v>
      </c>
      <c r="C485">
        <v>60</v>
      </c>
      <c r="D485" t="str">
        <f>"GBP"</f>
        <v>GBP</v>
      </c>
      <c r="E485" t="str">
        <f>"2012"</f>
        <v>2012</v>
      </c>
      <c r="F485" t="str">
        <f>"SIMON JONATHAN ET A"</f>
        <v>SIMON JONATHAN ET A</v>
      </c>
      <c r="G485" t="str">
        <f>"AsarBartar"</f>
        <v>AsarBartar</v>
      </c>
    </row>
    <row r="486" spans="1:7" x14ac:dyDescent="0.25">
      <c r="A486" t="str">
        <f>"Chemistry: The Molecular Nature Of Matter And Change"</f>
        <v>Chemistry: The Molecular Nature Of Matter And Change</v>
      </c>
      <c r="B486" t="str">
        <f>"9781259254529"</f>
        <v>9781259254529</v>
      </c>
      <c r="C486">
        <v>85</v>
      </c>
      <c r="D486" t="str">
        <f t="shared" ref="D486:D496" si="37">"USD"</f>
        <v>USD</v>
      </c>
      <c r="E486" t="str">
        <f>"2016"</f>
        <v>2016</v>
      </c>
      <c r="F486" t="str">
        <f>"Silberberg"</f>
        <v>Silberberg</v>
      </c>
      <c r="G486" t="str">
        <f>"safirketab"</f>
        <v>safirketab</v>
      </c>
    </row>
    <row r="487" spans="1:7" x14ac:dyDescent="0.25">
      <c r="A487" t="str">
        <f>"Chemist's Companion Guide to Patent Law"</f>
        <v>Chemist's Companion Guide to Patent Law</v>
      </c>
      <c r="B487" t="str">
        <f>"9780471782438"</f>
        <v>9780471782438</v>
      </c>
      <c r="C487">
        <v>84.42</v>
      </c>
      <c r="D487" t="str">
        <f t="shared" si="37"/>
        <v>USD</v>
      </c>
      <c r="E487" t="str">
        <f>"2010"</f>
        <v>2010</v>
      </c>
      <c r="F487" t="str">
        <f>"Miller"</f>
        <v>Miller</v>
      </c>
      <c r="G487" t="str">
        <f>"safirketab"</f>
        <v>safirketab</v>
      </c>
    </row>
    <row r="488" spans="1:7" x14ac:dyDescent="0.25">
      <c r="A488" t="str">
        <f>"Chemoinformatics for Drug Discovery"</f>
        <v>Chemoinformatics for Drug Discovery</v>
      </c>
      <c r="B488" t="str">
        <f>"9781118139103"</f>
        <v>9781118139103</v>
      </c>
      <c r="C488">
        <v>96.8</v>
      </c>
      <c r="D488" t="str">
        <f t="shared" si="37"/>
        <v>USD</v>
      </c>
      <c r="E488" t="str">
        <f>"2014"</f>
        <v>2014</v>
      </c>
      <c r="F488" t="str">
        <f>"Bajorath"</f>
        <v>Bajorath</v>
      </c>
      <c r="G488" t="str">
        <f>"avanddanesh"</f>
        <v>avanddanesh</v>
      </c>
    </row>
    <row r="489" spans="1:7" x14ac:dyDescent="0.25">
      <c r="A489" t="str">
        <f>"Chemometric Methods in Capillary Electrophoresis"</f>
        <v>Chemometric Methods in Capillary Electrophoresis</v>
      </c>
      <c r="B489" t="str">
        <f>"9780470393291"</f>
        <v>9780470393291</v>
      </c>
      <c r="C489">
        <v>92.61</v>
      </c>
      <c r="D489" t="str">
        <f t="shared" si="37"/>
        <v>USD</v>
      </c>
      <c r="E489" t="str">
        <f>"2010"</f>
        <v>2010</v>
      </c>
      <c r="F489" t="str">
        <f>"Hanrahan"</f>
        <v>Hanrahan</v>
      </c>
      <c r="G489" t="str">
        <f>"safirketab"</f>
        <v>safirketab</v>
      </c>
    </row>
    <row r="490" spans="1:7" x14ac:dyDescent="0.25">
      <c r="A490" t="str">
        <f>"Chemometrics in Excel"</f>
        <v>Chemometrics in Excel</v>
      </c>
      <c r="B490" t="str">
        <f>"9781118605356"</f>
        <v>9781118605356</v>
      </c>
      <c r="C490">
        <v>69.7</v>
      </c>
      <c r="D490" t="str">
        <f t="shared" si="37"/>
        <v>USD</v>
      </c>
      <c r="E490" t="str">
        <f>"2014"</f>
        <v>2014</v>
      </c>
      <c r="F490" t="str">
        <f>"Pomerantsev"</f>
        <v>Pomerantsev</v>
      </c>
      <c r="G490" t="str">
        <f>"avanddanesh"</f>
        <v>avanddanesh</v>
      </c>
    </row>
    <row r="491" spans="1:7" x14ac:dyDescent="0.25">
      <c r="A491" t="str">
        <f>"Chemometrics: Statistics and Computer Application in Analytical Chemistry,3e"</f>
        <v>Chemometrics: Statistics and Computer Application in Analytical Chemistry,3e</v>
      </c>
      <c r="B491" t="str">
        <f>"9783527340972"</f>
        <v>9783527340972</v>
      </c>
      <c r="C491">
        <v>93.5</v>
      </c>
      <c r="D491" t="str">
        <f t="shared" si="37"/>
        <v>USD</v>
      </c>
      <c r="E491" t="str">
        <f>"2016"</f>
        <v>2016</v>
      </c>
      <c r="F491" t="str">
        <f>"Otto"</f>
        <v>Otto</v>
      </c>
      <c r="G491" t="str">
        <f>"avanddanesh"</f>
        <v>avanddanesh</v>
      </c>
    </row>
    <row r="492" spans="1:7" x14ac:dyDescent="0.25">
      <c r="A492" t="str">
        <f>"Chemosensors: Principles, Strategies, and Applications"</f>
        <v>Chemosensors: Principles, Strategies, and Applications</v>
      </c>
      <c r="B492" t="str">
        <f>"9780470592069"</f>
        <v>9780470592069</v>
      </c>
      <c r="C492">
        <v>68.400000000000006</v>
      </c>
      <c r="D492" t="str">
        <f t="shared" si="37"/>
        <v>USD</v>
      </c>
      <c r="E492" t="str">
        <f>"2011"</f>
        <v>2011</v>
      </c>
      <c r="F492" t="str">
        <f>"Wang"</f>
        <v>Wang</v>
      </c>
      <c r="G492" t="str">
        <f>"avanddanesh"</f>
        <v>avanddanesh</v>
      </c>
    </row>
    <row r="493" spans="1:7" x14ac:dyDescent="0.25">
      <c r="A493" t="str">
        <f>"Chiral Ferrocenes in Asymmetric Catalysis:Synthesis and Applications"</f>
        <v>Chiral Ferrocenes in Asymmetric Catalysis:Synthesis and Applications</v>
      </c>
      <c r="B493" t="str">
        <f>"9783527322800"</f>
        <v>9783527322800</v>
      </c>
      <c r="C493">
        <v>163.79</v>
      </c>
      <c r="D493" t="str">
        <f t="shared" si="37"/>
        <v>USD</v>
      </c>
      <c r="E493" t="str">
        <f>"2009"</f>
        <v>2009</v>
      </c>
      <c r="F493" t="str">
        <f>"Dai"</f>
        <v>Dai</v>
      </c>
      <c r="G493" t="str">
        <f>"safirketab"</f>
        <v>safirketab</v>
      </c>
    </row>
    <row r="494" spans="1:7" x14ac:dyDescent="0.25">
      <c r="A494" t="str">
        <f>"Chiral Lewis Acids in Organic Synthesis"</f>
        <v>Chiral Lewis Acids in Organic Synthesis</v>
      </c>
      <c r="B494" t="str">
        <f>"9783527341290"</f>
        <v>9783527341290</v>
      </c>
      <c r="C494">
        <v>184.5</v>
      </c>
      <c r="D494" t="str">
        <f t="shared" si="37"/>
        <v>USD</v>
      </c>
      <c r="E494" t="str">
        <f>"2017"</f>
        <v>2017</v>
      </c>
      <c r="F494" t="str">
        <f>"Mlynarski"</f>
        <v>Mlynarski</v>
      </c>
      <c r="G494" t="str">
        <f>"avanddanesh"</f>
        <v>avanddanesh</v>
      </c>
    </row>
    <row r="495" spans="1:7" x14ac:dyDescent="0.25">
      <c r="A495" t="str">
        <f>"Chiral Nanomaterials: Preparation, Properties and Applications"</f>
        <v>Chiral Nanomaterials: Preparation, Properties and Applications</v>
      </c>
      <c r="B495" t="str">
        <f>"9783527337576"</f>
        <v>9783527337576</v>
      </c>
      <c r="C495">
        <v>157.5</v>
      </c>
      <c r="D495" t="str">
        <f t="shared" si="37"/>
        <v>USD</v>
      </c>
      <c r="E495" t="str">
        <f>"2018"</f>
        <v>2018</v>
      </c>
      <c r="F495" t="str">
        <f>"Tang"</f>
        <v>Tang</v>
      </c>
      <c r="G495" t="str">
        <f>"avanddanesh"</f>
        <v>avanddanesh</v>
      </c>
    </row>
    <row r="496" spans="1:7" x14ac:dyDescent="0.25">
      <c r="A496" t="str">
        <f>"Chirality at Solid Surfaces"</f>
        <v>Chirality at Solid Surfaces</v>
      </c>
      <c r="B496" t="str">
        <f>"9781118880128"</f>
        <v>9781118880128</v>
      </c>
      <c r="C496">
        <v>153</v>
      </c>
      <c r="D496" t="str">
        <f t="shared" si="37"/>
        <v>USD</v>
      </c>
      <c r="E496" t="str">
        <f>"2018"</f>
        <v>2018</v>
      </c>
      <c r="F496" t="str">
        <f>"Jenkins"</f>
        <v>Jenkins</v>
      </c>
      <c r="G496" t="str">
        <f>"avanddanesh"</f>
        <v>avanddanesh</v>
      </c>
    </row>
    <row r="497" spans="1:7" x14ac:dyDescent="0.25">
      <c r="A497" t="str">
        <f>"CHIRALITY IN BIOLOGICAL NANOSPACES,"</f>
        <v>CHIRALITY IN BIOLOGICAL NANOSPACES,</v>
      </c>
      <c r="B497" t="str">
        <f>"9781439840023"</f>
        <v>9781439840023</v>
      </c>
      <c r="C497">
        <v>54.6</v>
      </c>
      <c r="D497" t="str">
        <f>"GBP"</f>
        <v>GBP</v>
      </c>
      <c r="E497" t="str">
        <f>"2012"</f>
        <v>2012</v>
      </c>
      <c r="F497" t="str">
        <f>"NANDI"</f>
        <v>NANDI</v>
      </c>
      <c r="G497" t="str">
        <f>"AsarBartar"</f>
        <v>AsarBartar</v>
      </c>
    </row>
    <row r="498" spans="1:7" x14ac:dyDescent="0.25">
      <c r="A498" t="str">
        <f>"Chirality in Supramolecular Assemblies: Causes and Consequences"</f>
        <v>Chirality in Supramolecular Assemblies: Causes and Consequences</v>
      </c>
      <c r="B498" t="str">
        <f>"9781118867341"</f>
        <v>9781118867341</v>
      </c>
      <c r="C498">
        <v>123.3</v>
      </c>
      <c r="D498" t="str">
        <f>"USD"</f>
        <v>USD</v>
      </c>
      <c r="E498" t="str">
        <f>"2016"</f>
        <v>2016</v>
      </c>
      <c r="F498" t="str">
        <f>"Keene"</f>
        <v>Keene</v>
      </c>
      <c r="G498" t="str">
        <f>"avanddanesh"</f>
        <v>avanddanesh</v>
      </c>
    </row>
    <row r="499" spans="1:7" x14ac:dyDescent="0.25">
      <c r="A499" t="str">
        <f>"Chocolate and Health : Chemistry, Nutrition and Therapy"</f>
        <v>Chocolate and Health : Chemistry, Nutrition and Therapy</v>
      </c>
      <c r="B499" t="str">
        <f>"9781849739122"</f>
        <v>9781849739122</v>
      </c>
      <c r="C499">
        <v>33</v>
      </c>
      <c r="D499" t="str">
        <f>"GBP"</f>
        <v>GBP</v>
      </c>
      <c r="E499" t="str">
        <f>"2015"</f>
        <v>2015</v>
      </c>
      <c r="F499" t="str">
        <f>"Wilson, Hurst"</f>
        <v>Wilson, Hurst</v>
      </c>
      <c r="G499" t="str">
        <f>"arzinbooks"</f>
        <v>arzinbooks</v>
      </c>
    </row>
    <row r="500" spans="1:7" x14ac:dyDescent="0.25">
      <c r="A500" t="str">
        <f>"Cholesterol Regulation of Ion Channels and Receptors"</f>
        <v>Cholesterol Regulation of Ion Channels and Receptors</v>
      </c>
      <c r="B500" t="str">
        <f>"9780470874325"</f>
        <v>9780470874325</v>
      </c>
      <c r="C500">
        <v>82.2</v>
      </c>
      <c r="D500" t="str">
        <f>"USD"</f>
        <v>USD</v>
      </c>
      <c r="E500" t="str">
        <f>"2012"</f>
        <v>2012</v>
      </c>
      <c r="F500" t="str">
        <f>"Levitan"</f>
        <v>Levitan</v>
      </c>
      <c r="G500" t="str">
        <f>"avanddanesh"</f>
        <v>avanddanesh</v>
      </c>
    </row>
    <row r="501" spans="1:7" x14ac:dyDescent="0.25">
      <c r="A501" t="str">
        <f>"Chromatography: Principles and Instrumentation"</f>
        <v>Chromatography: Principles and Instrumentation</v>
      </c>
      <c r="B501" t="str">
        <f>"9781119270881"</f>
        <v>9781119270881</v>
      </c>
      <c r="C501">
        <v>85</v>
      </c>
      <c r="D501" t="str">
        <f>"USD"</f>
        <v>USD</v>
      </c>
      <c r="E501" t="str">
        <f>"2016"</f>
        <v>2016</v>
      </c>
      <c r="F501" t="str">
        <f>"Vitha"</f>
        <v>Vitha</v>
      </c>
      <c r="G501" t="str">
        <f>"avanddanesh"</f>
        <v>avanddanesh</v>
      </c>
    </row>
    <row r="502" spans="1:7" x14ac:dyDescent="0.25">
      <c r="A502" t="str">
        <f>"Cinchona Alkaloids in Synthesis and Catalysis: Ligands, Immobilization and Organocatalysis"</f>
        <v>Cinchona Alkaloids in Synthesis and Catalysis: Ligands, Immobilization and Organocatalysis</v>
      </c>
      <c r="B502" t="str">
        <f>"9783527324163"</f>
        <v>9783527324163</v>
      </c>
      <c r="C502">
        <v>93.6</v>
      </c>
      <c r="D502" t="str">
        <f>"USD"</f>
        <v>USD</v>
      </c>
      <c r="E502" t="str">
        <f>"2009"</f>
        <v>2009</v>
      </c>
      <c r="F502" t="str">
        <f>"Song"</f>
        <v>Song</v>
      </c>
      <c r="G502" t="str">
        <f>"avanddanesh"</f>
        <v>avanddanesh</v>
      </c>
    </row>
    <row r="503" spans="1:7" x14ac:dyDescent="0.25">
      <c r="A503" t="str">
        <f>"Circulating Tumor Cells: Isolation and Analysis"</f>
        <v>Circulating Tumor Cells: Isolation and Analysis</v>
      </c>
      <c r="B503" t="str">
        <f>"9781118915530"</f>
        <v>9781118915530</v>
      </c>
      <c r="C503">
        <v>127.5</v>
      </c>
      <c r="D503" t="str">
        <f>"USD"</f>
        <v>USD</v>
      </c>
      <c r="E503" t="str">
        <f>"2016"</f>
        <v>2016</v>
      </c>
      <c r="F503" t="str">
        <f>"Fan"</f>
        <v>Fan</v>
      </c>
      <c r="G503" t="str">
        <f>"avanddanesh"</f>
        <v>avanddanesh</v>
      </c>
    </row>
    <row r="504" spans="1:7" x14ac:dyDescent="0.25">
      <c r="A504" t="str">
        <f>"Citrus bergamia: Bergamot and its Derivatives (Medicinal and Aromatic Plants - Industrial Profiles)"</f>
        <v>Citrus bergamia: Bergamot and its Derivatives (Medicinal and Aromatic Plants - Industrial Profiles)</v>
      </c>
      <c r="B504" t="str">
        <f>"9781439862278"</f>
        <v>9781439862278</v>
      </c>
      <c r="C504">
        <v>92.8</v>
      </c>
      <c r="D504" t="str">
        <f>"GBP"</f>
        <v>GBP</v>
      </c>
      <c r="E504" t="str">
        <f>"2014"</f>
        <v>2014</v>
      </c>
      <c r="F504" t="str">
        <f>"Ivana Bonaccorsi(Ed"</f>
        <v>Ivana Bonaccorsi(Ed</v>
      </c>
      <c r="G504" t="str">
        <f>"AsarBartar"</f>
        <v>AsarBartar</v>
      </c>
    </row>
    <row r="505" spans="1:7" x14ac:dyDescent="0.25">
      <c r="A505" t="str">
        <f>"Classical and Geometrical Theory of Chemical and Phase Thermodynamics"</f>
        <v>Classical and Geometrical Theory of Chemical and Phase Thermodynamics</v>
      </c>
      <c r="B505" t="str">
        <f>"9780470402368"</f>
        <v>9780470402368</v>
      </c>
      <c r="C505">
        <v>101.25</v>
      </c>
      <c r="D505" t="str">
        <f t="shared" ref="D505:D510" si="38">"USD"</f>
        <v>USD</v>
      </c>
      <c r="E505" t="str">
        <f>"2009"</f>
        <v>2009</v>
      </c>
      <c r="F505" t="str">
        <f>"Weinhold"</f>
        <v>Weinhold</v>
      </c>
      <c r="G505" t="str">
        <f>"safirketab"</f>
        <v>safirketab</v>
      </c>
    </row>
    <row r="506" spans="1:7" x14ac:dyDescent="0.25">
      <c r="A506" t="str">
        <f>"Classical Methods in Structure Elucidation of Natural Products"</f>
        <v>Classical Methods in Structure Elucidation of Natural Products</v>
      </c>
      <c r="B506" t="str">
        <f>"9783906390734"</f>
        <v>9783906390734</v>
      </c>
      <c r="C506">
        <v>148.5</v>
      </c>
      <c r="D506" t="str">
        <f t="shared" si="38"/>
        <v>USD</v>
      </c>
      <c r="E506" t="str">
        <f>"2018"</f>
        <v>2018</v>
      </c>
      <c r="F506" t="str">
        <f>"Hoffmann"</f>
        <v>Hoffmann</v>
      </c>
      <c r="G506" t="str">
        <f>"avanddanesh"</f>
        <v>avanddanesh</v>
      </c>
    </row>
    <row r="507" spans="1:7" x14ac:dyDescent="0.25">
      <c r="A507" t="str">
        <f>"Classics in Total Synthesis III: Further Targets, Strategies, Methods"</f>
        <v>Classics in Total Synthesis III: Further Targets, Strategies, Methods</v>
      </c>
      <c r="B507" t="str">
        <f>"9783527329571"</f>
        <v>9783527329571</v>
      </c>
      <c r="C507">
        <v>43.2</v>
      </c>
      <c r="D507" t="str">
        <f t="shared" si="38"/>
        <v>USD</v>
      </c>
      <c r="E507" t="str">
        <f>"2011"</f>
        <v>2011</v>
      </c>
      <c r="F507" t="str">
        <f>"Nicolaou"</f>
        <v>Nicolaou</v>
      </c>
      <c r="G507" t="str">
        <f>"avanddanesh"</f>
        <v>avanddanesh</v>
      </c>
    </row>
    <row r="508" spans="1:7" x14ac:dyDescent="0.25">
      <c r="A508" t="str">
        <f>"Cleaning with Solvents: Methods and Machinery"</f>
        <v>Cleaning with Solvents: Methods and Machinery</v>
      </c>
      <c r="B508" t="str">
        <f>"9780128102992"</f>
        <v>9780128102992</v>
      </c>
      <c r="C508">
        <v>202.5</v>
      </c>
      <c r="D508" t="str">
        <f t="shared" si="38"/>
        <v>USD</v>
      </c>
      <c r="E508" t="str">
        <f>"2017"</f>
        <v>2017</v>
      </c>
      <c r="F508" t="str">
        <f>"Durkee"</f>
        <v>Durkee</v>
      </c>
      <c r="G508" t="str">
        <f>"dehkadehketab"</f>
        <v>dehkadehketab</v>
      </c>
    </row>
    <row r="509" spans="1:7" x14ac:dyDescent="0.25">
      <c r="A509" t="str">
        <f>"Cleavage of Carbon-Carbon Single Bonds by Transition Metals"</f>
        <v>Cleavage of Carbon-Carbon Single Bonds by Transition Metals</v>
      </c>
      <c r="B509" t="str">
        <f>"9783527336326"</f>
        <v>9783527336326</v>
      </c>
      <c r="C509">
        <v>140</v>
      </c>
      <c r="D509" t="str">
        <f t="shared" si="38"/>
        <v>USD</v>
      </c>
      <c r="E509" t="str">
        <f>"2015"</f>
        <v>2015</v>
      </c>
      <c r="F509" t="str">
        <f>"Murakami"</f>
        <v>Murakami</v>
      </c>
      <c r="G509" t="str">
        <f>"avanddanesh"</f>
        <v>avanddanesh</v>
      </c>
    </row>
    <row r="510" spans="1:7" x14ac:dyDescent="0.25">
      <c r="A510" t="str">
        <f>"Click Reactions in Organic Synthesis"</f>
        <v>Click Reactions in Organic Synthesis</v>
      </c>
      <c r="B510" t="str">
        <f>"9783527339167"</f>
        <v>9783527339167</v>
      </c>
      <c r="C510">
        <v>161.5</v>
      </c>
      <c r="D510" t="str">
        <f t="shared" si="38"/>
        <v>USD</v>
      </c>
      <c r="E510" t="str">
        <f>"2016"</f>
        <v>2016</v>
      </c>
      <c r="F510" t="str">
        <f>"Chandrasekaran"</f>
        <v>Chandrasekaran</v>
      </c>
      <c r="G510" t="str">
        <f>"avanddanesh"</f>
        <v>avanddanesh</v>
      </c>
    </row>
    <row r="511" spans="1:7" x14ac:dyDescent="0.25">
      <c r="A511" t="str">
        <f>"Clinical Core Laboratory Testing"</f>
        <v>Clinical Core Laboratory Testing</v>
      </c>
      <c r="B511" t="str">
        <f>"9781489977922"</f>
        <v>9781489977922</v>
      </c>
      <c r="C511">
        <v>89.99</v>
      </c>
      <c r="D511" t="str">
        <f>"EUR"</f>
        <v>EUR</v>
      </c>
      <c r="E511" t="str">
        <f>"2017"</f>
        <v>2017</v>
      </c>
      <c r="F511" t="str">
        <f>"Molinaro"</f>
        <v>Molinaro</v>
      </c>
      <c r="G511" t="str">
        <f>"negarestanabi"</f>
        <v>negarestanabi</v>
      </c>
    </row>
    <row r="512" spans="1:7" x14ac:dyDescent="0.25">
      <c r="A512" t="str">
        <f>"Clinical Toxicological Analysis:Procedures, Results, Interpretation 2V Set"</f>
        <v>Clinical Toxicological Analysis:Procedures, Results, Interpretation 2V Set</v>
      </c>
      <c r="B512" t="str">
        <f>"9783527318902"</f>
        <v>9783527318902</v>
      </c>
      <c r="C512">
        <v>337.5</v>
      </c>
      <c r="D512" t="str">
        <f>"USD"</f>
        <v>USD</v>
      </c>
      <c r="E512" t="str">
        <f>"2009"</f>
        <v>2009</v>
      </c>
      <c r="F512" t="str">
        <f>"KÃ¼lpmann"</f>
        <v>KÃ¼lpmann</v>
      </c>
      <c r="G512" t="str">
        <f>"safirketab"</f>
        <v>safirketab</v>
      </c>
    </row>
    <row r="513" spans="1:7" x14ac:dyDescent="0.25">
      <c r="A513" t="str">
        <f>"Cluster Secondary Ion Mass Spectrometry: Principles and Applications"</f>
        <v>Cluster Secondary Ion Mass Spectrometry: Principles and Applications</v>
      </c>
      <c r="B513" t="str">
        <f>"9780470886052"</f>
        <v>9780470886052</v>
      </c>
      <c r="C513">
        <v>80</v>
      </c>
      <c r="D513" t="str">
        <f>"USD"</f>
        <v>USD</v>
      </c>
      <c r="E513" t="str">
        <f>"2013"</f>
        <v>2013</v>
      </c>
      <c r="F513" t="str">
        <f>"Mahoney"</f>
        <v>Mahoney</v>
      </c>
      <c r="G513" t="str">
        <f>"avanddanesh"</f>
        <v>avanddanesh</v>
      </c>
    </row>
    <row r="514" spans="1:7" x14ac:dyDescent="0.25">
      <c r="A514" t="str">
        <f>"Clusters â€“ Contemporary Insight in Structure and Bonding"</f>
        <v>Clusters â€“ Contemporary Insight in Structure and Bonding</v>
      </c>
      <c r="B514" t="str">
        <f>"9783319522944"</f>
        <v>9783319522944</v>
      </c>
      <c r="C514">
        <v>269.99</v>
      </c>
      <c r="D514" t="str">
        <f>"EUR"</f>
        <v>EUR</v>
      </c>
      <c r="E514" t="str">
        <f>"2017"</f>
        <v>2017</v>
      </c>
      <c r="F514" t="str">
        <f>"Dehnen"</f>
        <v>Dehnen</v>
      </c>
      <c r="G514" t="str">
        <f>"negarestanabi"</f>
        <v>negarestanabi</v>
      </c>
    </row>
    <row r="515" spans="1:7" x14ac:dyDescent="0.25">
      <c r="A515" t="str">
        <f>"Clusters: Structure. Bonding and Reactivity"</f>
        <v>Clusters: Structure. Bonding and Reactivity</v>
      </c>
      <c r="B515" t="str">
        <f>"9783319489162"</f>
        <v>9783319489162</v>
      </c>
      <c r="C515">
        <v>179.99</v>
      </c>
      <c r="D515" t="str">
        <f>"EUR"</f>
        <v>EUR</v>
      </c>
      <c r="E515" t="str">
        <f>"2017"</f>
        <v>2017</v>
      </c>
      <c r="F515" t="str">
        <f>"Nguyen"</f>
        <v>Nguyen</v>
      </c>
      <c r="G515" t="str">
        <f>"negarestanabi"</f>
        <v>negarestanabi</v>
      </c>
    </row>
    <row r="516" spans="1:7" x14ac:dyDescent="0.25">
      <c r="A516" t="str">
        <f>"Cobalt Oxides,2e"</f>
        <v>Cobalt Oxides,2e</v>
      </c>
      <c r="B516" t="str">
        <f>"9783527331475"</f>
        <v>9783527331475</v>
      </c>
      <c r="C516">
        <v>105.6</v>
      </c>
      <c r="D516" t="str">
        <f t="shared" ref="D516:D529" si="39">"USD"</f>
        <v>USD</v>
      </c>
      <c r="E516" t="str">
        <f>"2012"</f>
        <v>2012</v>
      </c>
      <c r="F516" t="str">
        <f>"Raveau"</f>
        <v>Raveau</v>
      </c>
      <c r="G516" t="str">
        <f>"avanddanesh"</f>
        <v>avanddanesh</v>
      </c>
    </row>
    <row r="517" spans="1:7" x14ac:dyDescent="0.25">
      <c r="A517" t="str">
        <f>"Colloid Stability: The Role of Surface Forces V1"</f>
        <v>Colloid Stability: The Role of Surface Forces V1</v>
      </c>
      <c r="B517" t="str">
        <f>"9783527314621"</f>
        <v>9783527314621</v>
      </c>
      <c r="C517">
        <v>126</v>
      </c>
      <c r="D517" t="str">
        <f t="shared" si="39"/>
        <v>USD</v>
      </c>
      <c r="E517" t="str">
        <f>"2007"</f>
        <v>2007</v>
      </c>
      <c r="F517" t="str">
        <f>"Tadros"</f>
        <v>Tadros</v>
      </c>
      <c r="G517" t="str">
        <f t="shared" ref="G517:G523" si="40">"safirketab"</f>
        <v>safirketab</v>
      </c>
    </row>
    <row r="518" spans="1:7" x14ac:dyDescent="0.25">
      <c r="A518" t="str">
        <f>"Colloid Stability: The Role of Surface Forces, Part II V2"</f>
        <v>Colloid Stability: The Role of Surface Forces, Part II V2</v>
      </c>
      <c r="B518" t="str">
        <f>"9783527315031"</f>
        <v>9783527315031</v>
      </c>
      <c r="C518">
        <v>126</v>
      </c>
      <c r="D518" t="str">
        <f t="shared" si="39"/>
        <v>USD</v>
      </c>
      <c r="E518" t="str">
        <f>"2007"</f>
        <v>2007</v>
      </c>
      <c r="F518" t="str">
        <f>"Tadros"</f>
        <v>Tadros</v>
      </c>
      <c r="G518" t="str">
        <f t="shared" si="40"/>
        <v>safirketab</v>
      </c>
    </row>
    <row r="519" spans="1:7" x14ac:dyDescent="0.25">
      <c r="A519" t="str">
        <f>"Colloids in Agrochemicals, V 5:Colloids and Interface Science"</f>
        <v>Colloids in Agrochemicals, V 5:Colloids and Interface Science</v>
      </c>
      <c r="B519" t="str">
        <f>"9783527314652"</f>
        <v>9783527314652</v>
      </c>
      <c r="C519">
        <v>157.5</v>
      </c>
      <c r="D519" t="str">
        <f t="shared" si="39"/>
        <v>USD</v>
      </c>
      <c r="E519" t="str">
        <f>"2009"</f>
        <v>2009</v>
      </c>
      <c r="F519" t="str">
        <f>"Tadros"</f>
        <v>Tadros</v>
      </c>
      <c r="G519" t="str">
        <f t="shared" si="40"/>
        <v>safirketab</v>
      </c>
    </row>
    <row r="520" spans="1:7" x14ac:dyDescent="0.25">
      <c r="A520" t="str">
        <f>"Colloids in Cosmetics and Personal Care V4"</f>
        <v>Colloids in Cosmetics and Personal Care V4</v>
      </c>
      <c r="B520" t="str">
        <f>"9783527314645"</f>
        <v>9783527314645</v>
      </c>
      <c r="C520">
        <v>126</v>
      </c>
      <c r="D520" t="str">
        <f t="shared" si="39"/>
        <v>USD</v>
      </c>
      <c r="E520" t="str">
        <f>"2008"</f>
        <v>2008</v>
      </c>
      <c r="F520" t="str">
        <f>"Tadros"</f>
        <v>Tadros</v>
      </c>
      <c r="G520" t="str">
        <f t="shared" si="40"/>
        <v>safirketab</v>
      </c>
    </row>
    <row r="521" spans="1:7" x14ac:dyDescent="0.25">
      <c r="A521" t="str">
        <f>"Colloids in Paints: Colloids and Interface Science, V6"</f>
        <v>Colloids in Paints: Colloids and Interface Science, V6</v>
      </c>
      <c r="B521" t="str">
        <f>"9783527314669"</f>
        <v>9783527314669</v>
      </c>
      <c r="C521">
        <v>82.8</v>
      </c>
      <c r="D521" t="str">
        <f t="shared" si="39"/>
        <v>USD</v>
      </c>
      <c r="E521" t="str">
        <f>"2010"</f>
        <v>2010</v>
      </c>
      <c r="F521" t="str">
        <f>"Tadros"</f>
        <v>Tadros</v>
      </c>
      <c r="G521" t="str">
        <f t="shared" si="40"/>
        <v>safirketab</v>
      </c>
    </row>
    <row r="522" spans="1:7" x14ac:dyDescent="0.25">
      <c r="A522" t="str">
        <f>"Combating the Threat of Pandemic Influenza: Drug Discovery Approaches"</f>
        <v>Combating the Threat of Pandemic Influenza: Drug Discovery Approaches</v>
      </c>
      <c r="B522" t="str">
        <f>"9780470118795"</f>
        <v>9780470118795</v>
      </c>
      <c r="C522">
        <v>70.400000000000006</v>
      </c>
      <c r="D522" t="str">
        <f t="shared" si="39"/>
        <v>USD</v>
      </c>
      <c r="E522" t="str">
        <f>"2007"</f>
        <v>2007</v>
      </c>
      <c r="F522" t="str">
        <f>"Torrence"</f>
        <v>Torrence</v>
      </c>
      <c r="G522" t="str">
        <f t="shared" si="40"/>
        <v>safirketab</v>
      </c>
    </row>
    <row r="523" spans="1:7" x14ac:dyDescent="0.25">
      <c r="A523" t="str">
        <f>"Combustion Residues:Current, Novel and Renewable Applications"</f>
        <v>Combustion Residues:Current, Novel and Renewable Applications</v>
      </c>
      <c r="B523" t="str">
        <f>"9780470094426"</f>
        <v>9780470094426</v>
      </c>
      <c r="C523">
        <v>126</v>
      </c>
      <c r="D523" t="str">
        <f t="shared" si="39"/>
        <v>USD</v>
      </c>
      <c r="E523" t="str">
        <f>"2008"</f>
        <v>2008</v>
      </c>
      <c r="F523" t="str">
        <f>"Cox"</f>
        <v>Cox</v>
      </c>
      <c r="G523" t="str">
        <f t="shared" si="40"/>
        <v>safirketab</v>
      </c>
    </row>
    <row r="524" spans="1:7" x14ac:dyDescent="0.25">
      <c r="A524" t="str">
        <f>"Combustion, , 5th Edition"</f>
        <v>Combustion, , 5th Edition</v>
      </c>
      <c r="B524" t="str">
        <f>"9780128100127"</f>
        <v>9780128100127</v>
      </c>
      <c r="C524">
        <v>108</v>
      </c>
      <c r="D524" t="str">
        <f t="shared" si="39"/>
        <v>USD</v>
      </c>
      <c r="E524" t="str">
        <f>"2017"</f>
        <v>2017</v>
      </c>
      <c r="F524" t="str">
        <f>"Glassman et al"</f>
        <v>Glassman et al</v>
      </c>
      <c r="G524" t="str">
        <f>"dehkadehketab"</f>
        <v>dehkadehketab</v>
      </c>
    </row>
    <row r="525" spans="1:7" x14ac:dyDescent="0.25">
      <c r="A525" t="str">
        <f>"Common Fragrance and Flavor Materials: Preparation, Properties and Uses,6e"</f>
        <v>Common Fragrance and Flavor Materials: Preparation, Properties and Uses,6e</v>
      </c>
      <c r="B525" t="str">
        <f>"9783527331604"</f>
        <v>9783527331604</v>
      </c>
      <c r="C525">
        <v>174.3</v>
      </c>
      <c r="D525" t="str">
        <f t="shared" si="39"/>
        <v>USD</v>
      </c>
      <c r="E525" t="str">
        <f>"2016"</f>
        <v>2016</v>
      </c>
      <c r="F525" t="str">
        <f>"Surburg"</f>
        <v>Surburg</v>
      </c>
      <c r="G525" t="str">
        <f>"avanddanesh"</f>
        <v>avanddanesh</v>
      </c>
    </row>
    <row r="526" spans="1:7" x14ac:dyDescent="0.25">
      <c r="A526" t="str">
        <f>"Comparative Pathophysiology and Toxicology of Cyclooxygenases"</f>
        <v>Comparative Pathophysiology and Toxicology of Cyclooxygenases</v>
      </c>
      <c r="B526" t="str">
        <f>"9780470577547"</f>
        <v>9780470577547</v>
      </c>
      <c r="C526">
        <v>90</v>
      </c>
      <c r="D526" t="str">
        <f t="shared" si="39"/>
        <v>USD</v>
      </c>
      <c r="E526" t="str">
        <f>"2012"</f>
        <v>2012</v>
      </c>
      <c r="F526" t="str">
        <f>"Radi"</f>
        <v>Radi</v>
      </c>
      <c r="G526" t="str">
        <f>"avanddanesh"</f>
        <v>avanddanesh</v>
      </c>
    </row>
    <row r="527" spans="1:7" x14ac:dyDescent="0.25">
      <c r="A527" t="str">
        <f>"Complex Macromolecular Architectures: Synthesis, Characterization, and Self-Assembly"</f>
        <v>Complex Macromolecular Architectures: Synthesis, Characterization, and Self-Assembly</v>
      </c>
      <c r="B527" t="str">
        <f>"9780470825136"</f>
        <v>9780470825136</v>
      </c>
      <c r="C527">
        <v>130</v>
      </c>
      <c r="D527" t="str">
        <f t="shared" si="39"/>
        <v>USD</v>
      </c>
      <c r="E527" t="str">
        <f>"2011"</f>
        <v>2011</v>
      </c>
      <c r="F527" t="str">
        <f>"Hadjichristidis"</f>
        <v>Hadjichristidis</v>
      </c>
      <c r="G527" t="str">
        <f>"avanddanesh"</f>
        <v>avanddanesh</v>
      </c>
    </row>
    <row r="528" spans="1:7" x14ac:dyDescent="0.25">
      <c r="A528" t="str">
        <f>"Comprehensive Chiroptical Spectroscopy, 2V Set"</f>
        <v>Comprehensive Chiroptical Spectroscopy, 2V Set</v>
      </c>
      <c r="B528" t="str">
        <f>"9780470641354"</f>
        <v>9780470641354</v>
      </c>
      <c r="C528">
        <v>259.8</v>
      </c>
      <c r="D528" t="str">
        <f t="shared" si="39"/>
        <v>USD</v>
      </c>
      <c r="E528" t="str">
        <f>"2012"</f>
        <v>2012</v>
      </c>
      <c r="F528" t="str">
        <f>"Berova"</f>
        <v>Berova</v>
      </c>
      <c r="G528" t="str">
        <f>"avanddanesh"</f>
        <v>avanddanesh</v>
      </c>
    </row>
    <row r="529" spans="1:7" x14ac:dyDescent="0.25">
      <c r="A529" t="str">
        <f>"Comprehensive Chromatography in Combination with Mass Spectrometry"</f>
        <v>Comprehensive Chromatography in Combination with Mass Spectrometry</v>
      </c>
      <c r="B529" t="str">
        <f>"9780470434079"</f>
        <v>9780470434079</v>
      </c>
      <c r="C529">
        <v>54.8</v>
      </c>
      <c r="D529" t="str">
        <f t="shared" si="39"/>
        <v>USD</v>
      </c>
      <c r="E529" t="str">
        <f>"2011"</f>
        <v>2011</v>
      </c>
      <c r="F529" t="str">
        <f>"Mondello"</f>
        <v>Mondello</v>
      </c>
      <c r="G529" t="str">
        <f>"avanddanesh"</f>
        <v>avanddanesh</v>
      </c>
    </row>
    <row r="530" spans="1:7" x14ac:dyDescent="0.25">
      <c r="A530" t="str">
        <f>"Comprehensive Glossary of Terms Used in Toxicology"</f>
        <v>Comprehensive Glossary of Terms Used in Toxicology</v>
      </c>
      <c r="B530" t="str">
        <f>"9781782621379"</f>
        <v>9781782621379</v>
      </c>
      <c r="C530">
        <v>65.5</v>
      </c>
      <c r="D530" t="str">
        <f>"GBP"</f>
        <v>GBP</v>
      </c>
      <c r="E530" t="str">
        <f>"2017"</f>
        <v>2017</v>
      </c>
      <c r="F530" t="str">
        <f>"John Duffus,Douglas "</f>
        <v xml:space="preserve">John Duffus,Douglas </v>
      </c>
      <c r="G530" t="str">
        <f>"arzinbooks"</f>
        <v>arzinbooks</v>
      </c>
    </row>
    <row r="531" spans="1:7" x14ac:dyDescent="0.25">
      <c r="A531" t="str">
        <f>"Comprehensive Guide to HILIC: Hydrophilic Interaction Chromatography"</f>
        <v>Comprehensive Guide to HILIC: Hydrophilic Interaction Chromatography</v>
      </c>
      <c r="B531" t="str">
        <f>"9781879732087"</f>
        <v>9781879732087</v>
      </c>
      <c r="C531">
        <v>18.7</v>
      </c>
      <c r="D531" t="str">
        <f t="shared" ref="D531:D540" si="41">"USD"</f>
        <v>USD</v>
      </c>
      <c r="E531" t="str">
        <f>"2014"</f>
        <v>2014</v>
      </c>
      <c r="F531" t="str">
        <f>"Waters"</f>
        <v>Waters</v>
      </c>
      <c r="G531" t="str">
        <f>"avanddanesh"</f>
        <v>avanddanesh</v>
      </c>
    </row>
    <row r="532" spans="1:7" x14ac:dyDescent="0.25">
      <c r="A532" t="str">
        <f>"Comprehensive Organic Transformations: A Guide to Functional Group Preparations, 4V Set,3e"</f>
        <v>Comprehensive Organic Transformations: A Guide to Functional Group Preparations, 4V Set,3e</v>
      </c>
      <c r="B532" t="str">
        <f>"9780470927953"</f>
        <v>9780470927953</v>
      </c>
      <c r="C532">
        <v>900</v>
      </c>
      <c r="D532" t="str">
        <f t="shared" si="41"/>
        <v>USD</v>
      </c>
      <c r="E532" t="str">
        <f>"2018"</f>
        <v>2018</v>
      </c>
      <c r="F532" t="str">
        <f>"Larock"</f>
        <v>Larock</v>
      </c>
      <c r="G532" t="str">
        <f>"avanddanesh"</f>
        <v>avanddanesh</v>
      </c>
    </row>
    <row r="533" spans="1:7" x14ac:dyDescent="0.25">
      <c r="A533" t="str">
        <f>"Computational Modeling for Homogeneous and Enzymatic Catalysis"</f>
        <v>Computational Modeling for Homogeneous and Enzymatic Catalysis</v>
      </c>
      <c r="B533" t="str">
        <f>"9783527318438"</f>
        <v>9783527318438</v>
      </c>
      <c r="C533">
        <v>115.2</v>
      </c>
      <c r="D533" t="str">
        <f t="shared" si="41"/>
        <v>USD</v>
      </c>
      <c r="E533" t="str">
        <f>"2008"</f>
        <v>2008</v>
      </c>
      <c r="F533" t="str">
        <f>"Morokuma"</f>
        <v>Morokuma</v>
      </c>
      <c r="G533" t="str">
        <f>"avanddanesh"</f>
        <v>avanddanesh</v>
      </c>
    </row>
    <row r="534" spans="1:7" x14ac:dyDescent="0.25">
      <c r="A534" t="str">
        <f>"Computational Modeling for Homogeneous and Enzymatic Catalysis: A Knowledge-Base for Designing Efficient Catalysts"</f>
        <v>Computational Modeling for Homogeneous and Enzymatic Catalysis: A Knowledge-Base for Designing Efficient Catalysts</v>
      </c>
      <c r="B534" t="str">
        <f>"9783527318438"</f>
        <v>9783527318438</v>
      </c>
      <c r="C534">
        <v>115.2</v>
      </c>
      <c r="D534" t="str">
        <f t="shared" si="41"/>
        <v>USD</v>
      </c>
      <c r="E534" t="str">
        <f>"2008"</f>
        <v>2008</v>
      </c>
      <c r="F534" t="str">
        <f>"Morokuma"</f>
        <v>Morokuma</v>
      </c>
      <c r="G534" t="str">
        <f>"safirketab"</f>
        <v>safirketab</v>
      </c>
    </row>
    <row r="535" spans="1:7" x14ac:dyDescent="0.25">
      <c r="A535" t="str">
        <f>"Computational Molecular Science, 6V Set"</f>
        <v>Computational Molecular Science, 6V Set</v>
      </c>
      <c r="B535" t="str">
        <f>"9780470723074"</f>
        <v>9780470723074</v>
      </c>
      <c r="C535">
        <v>1241.3</v>
      </c>
      <c r="D535" t="str">
        <f t="shared" si="41"/>
        <v>USD</v>
      </c>
      <c r="E535" t="str">
        <f>"2014"</f>
        <v>2014</v>
      </c>
      <c r="F535" t="str">
        <f>"Schreiner"</f>
        <v>Schreiner</v>
      </c>
      <c r="G535" t="str">
        <f>"avanddanesh"</f>
        <v>avanddanesh</v>
      </c>
    </row>
    <row r="536" spans="1:7" x14ac:dyDescent="0.25">
      <c r="A536" t="str">
        <f>"Computational Network Analysis with R: Applications in Biology, Medicine and Chemistry"</f>
        <v>Computational Network Analysis with R: Applications in Biology, Medicine and Chemistry</v>
      </c>
      <c r="B536" t="str">
        <f>"9783527339587"</f>
        <v>9783527339587</v>
      </c>
      <c r="C536">
        <v>174.3</v>
      </c>
      <c r="D536" t="str">
        <f t="shared" si="41"/>
        <v>USD</v>
      </c>
      <c r="E536" t="str">
        <f>"2016"</f>
        <v>2016</v>
      </c>
      <c r="F536" t="str">
        <f>"Dehmer"</f>
        <v>Dehmer</v>
      </c>
      <c r="G536" t="str">
        <f>"avanddanesh"</f>
        <v>avanddanesh</v>
      </c>
    </row>
    <row r="537" spans="1:7" x14ac:dyDescent="0.25">
      <c r="A537" t="str">
        <f>"Computational Pharmaceutical Solid State Chemistry"</f>
        <v>Computational Pharmaceutical Solid State Chemistry</v>
      </c>
      <c r="B537" t="str">
        <f>"9781118700747"</f>
        <v>9781118700747</v>
      </c>
      <c r="C537">
        <v>127.5</v>
      </c>
      <c r="D537" t="str">
        <f t="shared" si="41"/>
        <v>USD</v>
      </c>
      <c r="E537" t="str">
        <f>"2016"</f>
        <v>2016</v>
      </c>
      <c r="F537" t="str">
        <f>"Abramov"</f>
        <v>Abramov</v>
      </c>
      <c r="G537" t="str">
        <f>"avanddanesh"</f>
        <v>avanddanesh</v>
      </c>
    </row>
    <row r="538" spans="1:7" x14ac:dyDescent="0.25">
      <c r="A538" t="str">
        <f>"Computational Pharmaceutics: Application of Molecular Modeling in Drug Delivery"</f>
        <v>Computational Pharmaceutics: Application of Molecular Modeling in Drug Delivery</v>
      </c>
      <c r="B538" t="str">
        <f>"9781118573990"</f>
        <v>9781118573990</v>
      </c>
      <c r="C538">
        <v>100</v>
      </c>
      <c r="D538" t="str">
        <f t="shared" si="41"/>
        <v>USD</v>
      </c>
      <c r="E538" t="str">
        <f>"2015"</f>
        <v>2015</v>
      </c>
      <c r="F538" t="str">
        <f>"Ouyang"</f>
        <v>Ouyang</v>
      </c>
      <c r="G538" t="str">
        <f>"avanddanesh"</f>
        <v>avanddanesh</v>
      </c>
    </row>
    <row r="539" spans="1:7" x14ac:dyDescent="0.25">
      <c r="A539" t="str">
        <f>"Computational Phytochemistry"</f>
        <v>Computational Phytochemistry</v>
      </c>
      <c r="B539" t="str">
        <f>"9780128123607"</f>
        <v>9780128123607</v>
      </c>
      <c r="C539">
        <v>202.5</v>
      </c>
      <c r="D539" t="str">
        <f t="shared" si="41"/>
        <v>USD</v>
      </c>
      <c r="E539" t="str">
        <f>"2018"</f>
        <v>2018</v>
      </c>
      <c r="F539" t="str">
        <f>"Sarker and Nahar"</f>
        <v>Sarker and Nahar</v>
      </c>
      <c r="G539" t="str">
        <f>"dehkadehketab"</f>
        <v>dehkadehketab</v>
      </c>
    </row>
    <row r="540" spans="1:7" x14ac:dyDescent="0.25">
      <c r="A540" t="str">
        <f>"Computational Spectroscopy: Methods, Experiments and Applications"</f>
        <v>Computational Spectroscopy: Methods, Experiments and Applications</v>
      </c>
      <c r="B540" t="str">
        <f>"9783527326495"</f>
        <v>9783527326495</v>
      </c>
      <c r="C540">
        <v>88.8</v>
      </c>
      <c r="D540" t="str">
        <f t="shared" si="41"/>
        <v>USD</v>
      </c>
      <c r="E540" t="str">
        <f>"2010"</f>
        <v>2010</v>
      </c>
      <c r="F540" t="str">
        <f>"Grunenberg"</f>
        <v>Grunenberg</v>
      </c>
      <c r="G540" t="str">
        <f>"avanddanesh"</f>
        <v>avanddanesh</v>
      </c>
    </row>
    <row r="541" spans="1:7" x14ac:dyDescent="0.25">
      <c r="A541" t="str">
        <f>"Computational Systems Pharmacology and Toxicology"</f>
        <v>Computational Systems Pharmacology and Toxicology</v>
      </c>
      <c r="B541" t="str">
        <f>"9781782623328"</f>
        <v>9781782623328</v>
      </c>
      <c r="C541">
        <v>135.19999999999999</v>
      </c>
      <c r="D541" t="str">
        <f>"GBP"</f>
        <v>GBP</v>
      </c>
      <c r="E541" t="str">
        <f>"2017"</f>
        <v>2017</v>
      </c>
      <c r="F541" t="str">
        <f>"Rudy J Richardson,Da"</f>
        <v>Rudy J Richardson,Da</v>
      </c>
      <c r="G541" t="str">
        <f>"arzinbooks"</f>
        <v>arzinbooks</v>
      </c>
    </row>
    <row r="542" spans="1:7" x14ac:dyDescent="0.25">
      <c r="A542" t="str">
        <f>"Computational Tools for Chemical Biology"</f>
        <v>Computational Tools for Chemical Biology</v>
      </c>
      <c r="B542" t="str">
        <f>"9781782627005"</f>
        <v>9781782627005</v>
      </c>
      <c r="C542">
        <v>152.19999999999999</v>
      </c>
      <c r="D542" t="str">
        <f>"GBP"</f>
        <v>GBP</v>
      </c>
      <c r="E542" t="str">
        <f>"2018"</f>
        <v>2018</v>
      </c>
      <c r="F542" t="str">
        <f>"Sonsoles Mart??n-San"</f>
        <v>Sonsoles Mart??n-San</v>
      </c>
      <c r="G542" t="str">
        <f>"arzinbooks"</f>
        <v>arzinbooks</v>
      </c>
    </row>
    <row r="543" spans="1:7" x14ac:dyDescent="0.25">
      <c r="A543" t="str">
        <f>"Computational Toxicology: Risk Assessment for Chemicals"</f>
        <v>Computational Toxicology: Risk Assessment for Chemicals</v>
      </c>
      <c r="B543" t="str">
        <f>"9781119282563"</f>
        <v>9781119282563</v>
      </c>
      <c r="C543">
        <v>166.5</v>
      </c>
      <c r="D543" t="str">
        <f>"USD"</f>
        <v>USD</v>
      </c>
      <c r="E543" t="str">
        <f>"2018"</f>
        <v>2018</v>
      </c>
      <c r="F543" t="str">
        <f>"Ekins"</f>
        <v>Ekins</v>
      </c>
      <c r="G543" t="str">
        <f>"avanddanesh"</f>
        <v>avanddanesh</v>
      </c>
    </row>
    <row r="544" spans="1:7" x14ac:dyDescent="0.25">
      <c r="A544" t="str">
        <f>"Computerâ€“Based Structure Elucidation from Spectral Data: The Art of Solving Problems"</f>
        <v>Computerâ€“Based Structure Elucidation from Spectral Data: The Art of Solving Problems</v>
      </c>
      <c r="B544" t="str">
        <f>"9783662464014"</f>
        <v>9783662464014</v>
      </c>
      <c r="C544">
        <v>116.99</v>
      </c>
      <c r="D544" t="str">
        <f>"EUR"</f>
        <v>EUR</v>
      </c>
      <c r="E544" t="str">
        <f>"2015"</f>
        <v>2015</v>
      </c>
      <c r="F544" t="str">
        <f>"Elyashberg"</f>
        <v>Elyashberg</v>
      </c>
      <c r="G544" t="str">
        <f>"negarestanabi"</f>
        <v>negarestanabi</v>
      </c>
    </row>
    <row r="545" spans="1:7" x14ac:dyDescent="0.25">
      <c r="A545" t="str">
        <f>"Concepts and Case Studies in Chemical Biology"</f>
        <v>Concepts and Case Studies in Chemical Biology</v>
      </c>
      <c r="B545" t="str">
        <f>"9783527336111"</f>
        <v>9783527336111</v>
      </c>
      <c r="C545">
        <v>50.3</v>
      </c>
      <c r="D545" t="str">
        <f>"USD"</f>
        <v>USD</v>
      </c>
      <c r="E545" t="str">
        <f>"2014"</f>
        <v>2014</v>
      </c>
      <c r="F545" t="str">
        <f>"Waldmann"</f>
        <v>Waldmann</v>
      </c>
      <c r="G545" t="str">
        <f>"avanddanesh"</f>
        <v>avanddanesh</v>
      </c>
    </row>
    <row r="546" spans="1:7" x14ac:dyDescent="0.25">
      <c r="A546" t="str">
        <f>"CONCEPTS AND METHODS IN MODERN THEORETICAL CHEMISTRY, VOLUME 1:ELECTRONIC STRUCTURE AND REACTIVITY"</f>
        <v>CONCEPTS AND METHODS IN MODERN THEORETICAL CHEMISTRY, VOLUME 1:ELECTRONIC STRUCTURE AND REACTIVITY</v>
      </c>
      <c r="B546" t="str">
        <f>"9781466505285"</f>
        <v>9781466505285</v>
      </c>
      <c r="C546">
        <v>51.6</v>
      </c>
      <c r="D546" t="str">
        <f>"GBP"</f>
        <v>GBP</v>
      </c>
      <c r="E546" t="str">
        <f>"2013"</f>
        <v>2013</v>
      </c>
      <c r="F546" t="str">
        <f>"GHOSH"</f>
        <v>GHOSH</v>
      </c>
      <c r="G546" t="str">
        <f>"AsarBartar"</f>
        <v>AsarBartar</v>
      </c>
    </row>
    <row r="547" spans="1:7" x14ac:dyDescent="0.25">
      <c r="A547" t="str">
        <f>"CONCEPTS AND METHODS IN MODERN THEORETICAL CHEMISTRY, VOLUME II:STATISTICAL MECHANICS"</f>
        <v>CONCEPTS AND METHODS IN MODERN THEORETICAL CHEMISTRY, VOLUME II:STATISTICAL MECHANICS</v>
      </c>
      <c r="B547" t="str">
        <f>"9781466506206"</f>
        <v>9781466506206</v>
      </c>
      <c r="C547">
        <v>51.6</v>
      </c>
      <c r="D547" t="str">
        <f>"GBP"</f>
        <v>GBP</v>
      </c>
      <c r="E547" t="str">
        <f>"2013"</f>
        <v>2013</v>
      </c>
      <c r="F547" t="str">
        <f>"GHOSH"</f>
        <v>GHOSH</v>
      </c>
      <c r="G547" t="str">
        <f>"AsarBartar"</f>
        <v>AsarBartar</v>
      </c>
    </row>
    <row r="548" spans="1:7" x14ac:dyDescent="0.25">
      <c r="A548" t="str">
        <f>"CONCEPTS IN CEREAL CHEMISTRY"</f>
        <v>CONCEPTS IN CEREAL CHEMISTRY</v>
      </c>
      <c r="B548" t="str">
        <f>"9781439835821"</f>
        <v>9781439835821</v>
      </c>
      <c r="C548">
        <v>13.79</v>
      </c>
      <c r="D548" t="str">
        <f>"GBP"</f>
        <v>GBP</v>
      </c>
      <c r="E548" t="str">
        <f>"2010"</f>
        <v>2010</v>
      </c>
      <c r="F548" t="str">
        <f>"MACRITCHIE, FINLAY"</f>
        <v>MACRITCHIE, FINLAY</v>
      </c>
      <c r="G548" t="str">
        <f>"AsarBartar"</f>
        <v>AsarBartar</v>
      </c>
    </row>
    <row r="549" spans="1:7" x14ac:dyDescent="0.25">
      <c r="A549" t="str">
        <f>"Concepts of Chemical Engineering for Chemists 2th Edition"</f>
        <v>Concepts of Chemical Engineering for Chemists 2th Edition</v>
      </c>
      <c r="B549" t="str">
        <f>"9781782623588"</f>
        <v>9781782623588</v>
      </c>
      <c r="C549">
        <v>32.5</v>
      </c>
      <c r="D549" t="str">
        <f>"GBP"</f>
        <v>GBP</v>
      </c>
      <c r="E549" t="str">
        <f>"2016"</f>
        <v>2016</v>
      </c>
      <c r="F549" t="str">
        <f>"Simons"</f>
        <v>Simons</v>
      </c>
      <c r="G549" t="str">
        <f>"arzinbooks"</f>
        <v>arzinbooks</v>
      </c>
    </row>
    <row r="550" spans="1:7" x14ac:dyDescent="0.25">
      <c r="A550" t="str">
        <f>"Concepts of Modern Catalysis and Kinetics,3e"</f>
        <v>Concepts of Modern Catalysis and Kinetics,3e</v>
      </c>
      <c r="B550" t="str">
        <f>"9783527332687"</f>
        <v>9783527332687</v>
      </c>
      <c r="C550">
        <v>108</v>
      </c>
      <c r="D550" t="str">
        <f>"USD"</f>
        <v>USD</v>
      </c>
      <c r="E550" t="str">
        <f>"2017"</f>
        <v>2017</v>
      </c>
      <c r="F550" t="str">
        <f>"Chorkendorff"</f>
        <v>Chorkendorff</v>
      </c>
      <c r="G550" t="str">
        <f>"avanddanesh"</f>
        <v>avanddanesh</v>
      </c>
    </row>
    <row r="551" spans="1:7" x14ac:dyDescent="0.25">
      <c r="A551" t="str">
        <f>"CONCISE CHEMICAL THERMODYNAMICS, THIRD EDITION"</f>
        <v>CONCISE CHEMICAL THERMODYNAMICS, THIRD EDITION</v>
      </c>
      <c r="B551" t="str">
        <f>"9781439813324"</f>
        <v>9781439813324</v>
      </c>
      <c r="C551">
        <v>8.99</v>
      </c>
      <c r="D551" t="str">
        <f>"GBP"</f>
        <v>GBP</v>
      </c>
      <c r="E551" t="str">
        <f>"2010"</f>
        <v>2010</v>
      </c>
      <c r="F551" t="str">
        <f>"PETERS, A.P.H."</f>
        <v>PETERS, A.P.H.</v>
      </c>
      <c r="G551" t="str">
        <f>"AsarBartar"</f>
        <v>AsarBartar</v>
      </c>
    </row>
    <row r="552" spans="1:7" x14ac:dyDescent="0.25">
      <c r="A552" t="str">
        <f>"Concise Encyclopedia of Self-Propagating High-Temperature Synthesis, History, Theory, Technology, and Products"</f>
        <v>Concise Encyclopedia of Self-Propagating High-Temperature Synthesis, History, Theory, Technology, and Products</v>
      </c>
      <c r="B552" t="str">
        <f>"9780128041734"</f>
        <v>9780128041734</v>
      </c>
      <c r="C552">
        <v>180</v>
      </c>
      <c r="D552" t="str">
        <f t="shared" ref="D552:D557" si="42">"USD"</f>
        <v>USD</v>
      </c>
      <c r="E552" t="str">
        <f>"2017"</f>
        <v>2017</v>
      </c>
      <c r="F552" t="str">
        <f>"Borovinskaya et al"</f>
        <v>Borovinskaya et al</v>
      </c>
      <c r="G552" t="str">
        <f>"dehkadehketab"</f>
        <v>dehkadehketab</v>
      </c>
    </row>
    <row r="553" spans="1:7" x14ac:dyDescent="0.25">
      <c r="A553" t="str">
        <f>"Concise Inorganic Chemistry"</f>
        <v>Concise Inorganic Chemistry</v>
      </c>
      <c r="B553" t="str">
        <f>"9789380026312"</f>
        <v>9789380026312</v>
      </c>
      <c r="C553">
        <v>21.6</v>
      </c>
      <c r="D553" t="str">
        <f t="shared" si="42"/>
        <v>USD</v>
      </c>
      <c r="E553" t="str">
        <f>"2011"</f>
        <v>2011</v>
      </c>
      <c r="F553" t="str">
        <f>"Chandra, Sulekh"</f>
        <v>Chandra, Sulekh</v>
      </c>
      <c r="G553" t="str">
        <f>"safirketab"</f>
        <v>safirketab</v>
      </c>
    </row>
    <row r="554" spans="1:7" x14ac:dyDescent="0.25">
      <c r="A554" t="str">
        <f>"Concise Physical Chemistry"</f>
        <v>Concise Physical Chemistry</v>
      </c>
      <c r="B554" t="str">
        <f>"9780470522646"</f>
        <v>9780470522646</v>
      </c>
      <c r="C554">
        <v>37.200000000000003</v>
      </c>
      <c r="D554" t="str">
        <f t="shared" si="42"/>
        <v>USD</v>
      </c>
      <c r="E554" t="str">
        <f>"2011"</f>
        <v>2011</v>
      </c>
      <c r="F554" t="str">
        <f>"Rogers"</f>
        <v>Rogers</v>
      </c>
      <c r="G554" t="str">
        <f>"avanddanesh"</f>
        <v>avanddanesh</v>
      </c>
    </row>
    <row r="555" spans="1:7" x14ac:dyDescent="0.25">
      <c r="A555" t="str">
        <f>"Condensed-Phase Molecular Spectroscopy and Photophysics"</f>
        <v>Condensed-Phase Molecular Spectroscopy and Photophysics</v>
      </c>
      <c r="B555" t="str">
        <f>"9780470946701"</f>
        <v>9780470946701</v>
      </c>
      <c r="C555">
        <v>89</v>
      </c>
      <c r="D555" t="str">
        <f t="shared" si="42"/>
        <v>USD</v>
      </c>
      <c r="E555" t="str">
        <f>"2013"</f>
        <v>2013</v>
      </c>
      <c r="F555" t="str">
        <f>"Kelley"</f>
        <v>Kelley</v>
      </c>
      <c r="G555" t="str">
        <f>"avanddanesh"</f>
        <v>avanddanesh</v>
      </c>
    </row>
    <row r="556" spans="1:7" x14ac:dyDescent="0.25">
      <c r="A556" t="str">
        <f>"Conductive Atomic Force Microscopy: Applications in Nanomaterials"</f>
        <v>Conductive Atomic Force Microscopy: Applications in Nanomaterials</v>
      </c>
      <c r="B556" t="str">
        <f>"9783527340910"</f>
        <v>9783527340910</v>
      </c>
      <c r="C556">
        <v>184.5</v>
      </c>
      <c r="D556" t="str">
        <f t="shared" si="42"/>
        <v>USD</v>
      </c>
      <c r="E556" t="str">
        <f>"2017"</f>
        <v>2017</v>
      </c>
      <c r="F556" t="str">
        <f>"Lanza"</f>
        <v>Lanza</v>
      </c>
      <c r="G556" t="str">
        <f>"avanddanesh"</f>
        <v>avanddanesh</v>
      </c>
    </row>
    <row r="557" spans="1:7" x14ac:dyDescent="0.25">
      <c r="A557" t="str">
        <f>"Confined Space Entry and Emergency Response"</f>
        <v>Confined Space Entry and Emergency Response</v>
      </c>
      <c r="B557" t="str">
        <f>"9780471778455"</f>
        <v>9780471778455</v>
      </c>
      <c r="C557">
        <v>63</v>
      </c>
      <c r="D557" t="str">
        <f t="shared" si="42"/>
        <v>USD</v>
      </c>
      <c r="E557" t="str">
        <f>"2006"</f>
        <v>2006</v>
      </c>
      <c r="F557" t="str">
        <f>"Occupational &amp; Envir"</f>
        <v>Occupational &amp; Envir</v>
      </c>
      <c r="G557" t="str">
        <f>"safirketab"</f>
        <v>safirketab</v>
      </c>
    </row>
    <row r="558" spans="1:7" x14ac:dyDescent="0.25">
      <c r="A558" t="str">
        <f>"Conformational Concept For Synthetic Chemist's Use: Principles and in Lab Exploitation"</f>
        <v>Conformational Concept For Synthetic Chemist's Use: Principles and in Lab Exploitation</v>
      </c>
      <c r="B558" t="str">
        <f>"9789812814098"</f>
        <v>9789812814098</v>
      </c>
      <c r="C558">
        <v>123.2</v>
      </c>
      <c r="D558" t="str">
        <f>"GBP"</f>
        <v>GBP</v>
      </c>
      <c r="E558" t="str">
        <f>"2014"</f>
        <v>2014</v>
      </c>
      <c r="F558" t="str">
        <f>"Anatoly M Belostots"</f>
        <v>Anatoly M Belostots</v>
      </c>
      <c r="G558" t="str">
        <f>"AsarBartar"</f>
        <v>AsarBartar</v>
      </c>
    </row>
    <row r="559" spans="1:7" x14ac:dyDescent="0.25">
      <c r="A559" t="str">
        <f>"CONICAL INTERSECTIONS: THEORY, COMPUTATION AND EXPERIMENT"</f>
        <v>CONICAL INTERSECTIONS: THEORY, COMPUTATION AND EXPERIMENT</v>
      </c>
      <c r="B559" t="str">
        <f>"9789814313445"</f>
        <v>9789814313445</v>
      </c>
      <c r="C559">
        <v>39.299999999999997</v>
      </c>
      <c r="D559" t="str">
        <f>"GBP"</f>
        <v>GBP</v>
      </c>
      <c r="E559" t="str">
        <f>"2011"</f>
        <v>2011</v>
      </c>
      <c r="F559" t="str">
        <f>"DOMCKE WOLFGANG ET"</f>
        <v>DOMCKE WOLFGANG ET</v>
      </c>
      <c r="G559" t="str">
        <f>"AsarBartar"</f>
        <v>AsarBartar</v>
      </c>
    </row>
    <row r="560" spans="1:7" x14ac:dyDescent="0.25">
      <c r="A560" t="str">
        <f>"Continuous-Flow Chemistry in the Research Laboratory: Modern Organic Chemistry in Dedicated Reactors at the Dawn of the 21st Century"</f>
        <v>Continuous-Flow Chemistry in the Research Laboratory: Modern Organic Chemistry in Dedicated Reactors at the Dawn of the 21st Century</v>
      </c>
      <c r="B560" t="str">
        <f>"9783319321943"</f>
        <v>9783319321943</v>
      </c>
      <c r="C560">
        <v>89.99</v>
      </c>
      <c r="D560" t="str">
        <f>"EUR"</f>
        <v>EUR</v>
      </c>
      <c r="E560" t="str">
        <f>"2016"</f>
        <v>2016</v>
      </c>
      <c r="F560" t="str">
        <f>"Glasnov"</f>
        <v>Glasnov</v>
      </c>
      <c r="G560" t="str">
        <f>"negarestanabi"</f>
        <v>negarestanabi</v>
      </c>
    </row>
    <row r="561" spans="1:7" x14ac:dyDescent="0.25">
      <c r="A561" t="str">
        <f>"Continuum Solvation Models in Chemical Physics: From Theory to Applications"</f>
        <v>Continuum Solvation Models in Chemical Physics: From Theory to Applications</v>
      </c>
      <c r="B561" t="str">
        <f>"9780470029381"</f>
        <v>9780470029381</v>
      </c>
      <c r="C561">
        <v>217.5</v>
      </c>
      <c r="D561" t="str">
        <f>"USD"</f>
        <v>USD</v>
      </c>
      <c r="E561" t="str">
        <f>"2009"</f>
        <v>2009</v>
      </c>
      <c r="F561" t="str">
        <f>"Mennucci"</f>
        <v>Mennucci</v>
      </c>
      <c r="G561" t="str">
        <f>"safirketab"</f>
        <v>safirketab</v>
      </c>
    </row>
    <row r="562" spans="1:7" x14ac:dyDescent="0.25">
      <c r="A562" t="str">
        <f>"Control and Prediction of Solid-State of Pharmaceuticals : Experimental and Computational Approaches"</f>
        <v>Control and Prediction of Solid-State of Pharmaceuticals : Experimental and Computational Approaches</v>
      </c>
      <c r="B562" t="str">
        <f>"9783319275543"</f>
        <v>9783319275543</v>
      </c>
      <c r="C562">
        <v>125.99</v>
      </c>
      <c r="D562" t="str">
        <f>"EUR"</f>
        <v>EUR</v>
      </c>
      <c r="E562" t="str">
        <f>"2016"</f>
        <v>2016</v>
      </c>
      <c r="F562" t="str">
        <f>"Bhardwaj"</f>
        <v>Bhardwaj</v>
      </c>
      <c r="G562" t="str">
        <f>"negarestanabi"</f>
        <v>negarestanabi</v>
      </c>
    </row>
    <row r="563" spans="1:7" x14ac:dyDescent="0.25">
      <c r="A563" t="str">
        <f>"Cooperative Catalysis: Designing Efficient Catalysts for Synthesis"</f>
        <v>Cooperative Catalysis: Designing Efficient Catalysts for Synthesis</v>
      </c>
      <c r="B563" t="str">
        <f>"9783527336890"</f>
        <v>9783527336890</v>
      </c>
      <c r="C563">
        <v>169.6</v>
      </c>
      <c r="D563" t="str">
        <f>"USD"</f>
        <v>USD</v>
      </c>
      <c r="E563" t="str">
        <f>"2015"</f>
        <v>2015</v>
      </c>
      <c r="F563" t="str">
        <f>"Peters"</f>
        <v>Peters</v>
      </c>
      <c r="G563" t="str">
        <f>"avanddanesh"</f>
        <v>avanddanesh</v>
      </c>
    </row>
    <row r="564" spans="1:7" x14ac:dyDescent="0.25">
      <c r="A564" t="str">
        <f>"COPPER AMINE OXIDASES : STRUCTURES, CATALYTIC MECHANISMS AND ROLE IN PHYSIOPATHOLOGY"</f>
        <v>COPPER AMINE OXIDASES : STRUCTURES, CATALYTIC MECHANISMS AND ROLE IN PHYSIOPATHOLOGY</v>
      </c>
      <c r="B564" t="str">
        <f>"9781420076806"</f>
        <v>9781420076806</v>
      </c>
      <c r="C564">
        <v>29.7</v>
      </c>
      <c r="D564" t="str">
        <f>"GBP"</f>
        <v>GBP</v>
      </c>
      <c r="E564" t="str">
        <f>"2009"</f>
        <v>2009</v>
      </c>
      <c r="F564" t="str">
        <f>"GIOVANNI FLORIS AND"</f>
        <v>GIOVANNI FLORIS AND</v>
      </c>
      <c r="G564" t="str">
        <f>"AsarBartar"</f>
        <v>AsarBartar</v>
      </c>
    </row>
    <row r="565" spans="1:7" x14ac:dyDescent="0.25">
      <c r="A565" t="str">
        <f>"Copper-Catalyzed Amination of Aryl and Alkenyl Electrophiles"</f>
        <v>Copper-Catalyzed Amination of Aryl and Alkenyl Electrophiles</v>
      </c>
      <c r="B565" t="str">
        <f>"9781119345985"</f>
        <v>9781119345985</v>
      </c>
      <c r="C565">
        <v>85.5</v>
      </c>
      <c r="D565" t="str">
        <f>"USD"</f>
        <v>USD</v>
      </c>
      <c r="E565" t="str">
        <f>"2017"</f>
        <v>2017</v>
      </c>
      <c r="F565" t="str">
        <f>"Shaughnessy"</f>
        <v>Shaughnessy</v>
      </c>
      <c r="G565" t="str">
        <f>"avanddanesh"</f>
        <v>avanddanesh</v>
      </c>
    </row>
    <row r="566" spans="1:7" x14ac:dyDescent="0.25">
      <c r="A566" t="str">
        <f>"Co-Relating Metallic Nanoparticle Characteristics and Bacterial Toxicity"</f>
        <v>Co-Relating Metallic Nanoparticle Characteristics and Bacterial Toxicity</v>
      </c>
      <c r="B566" t="str">
        <f>"9783319167954"</f>
        <v>9783319167954</v>
      </c>
      <c r="C566">
        <v>46.25</v>
      </c>
      <c r="D566" t="str">
        <f>"EUR"</f>
        <v>EUR</v>
      </c>
      <c r="E566" t="str">
        <f>"2015"</f>
        <v>2015</v>
      </c>
      <c r="F566" t="str">
        <f>"Suresh"</f>
        <v>Suresh</v>
      </c>
      <c r="G566" t="str">
        <f>"negarestanabi"</f>
        <v>negarestanabi</v>
      </c>
    </row>
    <row r="567" spans="1:7" x14ac:dyDescent="0.25">
      <c r="A567" t="str">
        <f>"Corrosion Handbook: 13V Set, 2e"</f>
        <v>Corrosion Handbook: 13V Set, 2e</v>
      </c>
      <c r="B567" t="str">
        <f>"9783527312177"</f>
        <v>9783527312177</v>
      </c>
      <c r="C567">
        <v>4650</v>
      </c>
      <c r="D567" t="str">
        <f t="shared" ref="D567:D572" si="43">"USD"</f>
        <v>USD</v>
      </c>
      <c r="E567" t="str">
        <f>"2009"</f>
        <v>2009</v>
      </c>
      <c r="F567" t="str">
        <f>"Kreysa"</f>
        <v>Kreysa</v>
      </c>
      <c r="G567" t="str">
        <f>"safirketab"</f>
        <v>safirketab</v>
      </c>
    </row>
    <row r="568" spans="1:7" x14ac:dyDescent="0.25">
      <c r="A568" t="str">
        <f>"Corrosion Resistance of Aluminum and Magnesium All oys: Understanding, Performance, and Testing"</f>
        <v>Corrosion Resistance of Aluminum and Magnesium All oys: Understanding, Performance, and Testing</v>
      </c>
      <c r="B568" t="str">
        <f>"9780471715764"</f>
        <v>9780471715764</v>
      </c>
      <c r="C568">
        <v>135.75</v>
      </c>
      <c r="D568" t="str">
        <f t="shared" si="43"/>
        <v>USD</v>
      </c>
      <c r="E568" t="str">
        <f>"2010"</f>
        <v>2010</v>
      </c>
      <c r="F568" t="str">
        <f>"Ghali"</f>
        <v>Ghali</v>
      </c>
      <c r="G568" t="str">
        <f>"safirketab"</f>
        <v>safirketab</v>
      </c>
    </row>
    <row r="569" spans="1:7" x14ac:dyDescent="0.25">
      <c r="A569" t="str">
        <f>"Coulson and Richardsonâ€™s Chemical Engineering, Volume 1: Fluid Flow, Heat Transfer and Mass Transfer: Fundamentals and Applications, 7th Edition"</f>
        <v>Coulson and Richardsonâ€™s Chemical Engineering, Volume 1: Fluid Flow, Heat Transfer and Mass Transfer: Fundamentals and Applications, 7th Edition</v>
      </c>
      <c r="B569" t="str">
        <f>"9780081010976"</f>
        <v>9780081010976</v>
      </c>
      <c r="C569">
        <v>113.35</v>
      </c>
      <c r="D569" t="str">
        <f t="shared" si="43"/>
        <v>USD</v>
      </c>
      <c r="E569" t="str">
        <f>"2017"</f>
        <v>2017</v>
      </c>
      <c r="F569" t="str">
        <f>"Shankar and Chhabra"</f>
        <v>Shankar and Chhabra</v>
      </c>
      <c r="G569" t="str">
        <f>"dehkadehketab"</f>
        <v>dehkadehketab</v>
      </c>
    </row>
    <row r="570" spans="1:7" x14ac:dyDescent="0.25">
      <c r="A570" t="str">
        <f>"Coulson and Richardsonâ€™s Chemical Engineering, Volume 2B: Separation Processes, 6th Edition"</f>
        <v>Coulson and Richardsonâ€™s Chemical Engineering, Volume 2B: Separation Processes, 6th Edition</v>
      </c>
      <c r="B570" t="str">
        <f>"9780081010952"</f>
        <v>9780081010952</v>
      </c>
      <c r="C570">
        <v>113.35</v>
      </c>
      <c r="D570" t="str">
        <f t="shared" si="43"/>
        <v>USD</v>
      </c>
      <c r="E570" t="str">
        <f>"2017"</f>
        <v>2017</v>
      </c>
      <c r="F570" t="str">
        <f>"Ray"</f>
        <v>Ray</v>
      </c>
      <c r="G570" t="str">
        <f>"dehkadehketab"</f>
        <v>dehkadehketab</v>
      </c>
    </row>
    <row r="571" spans="1:7" x14ac:dyDescent="0.25">
      <c r="A571" t="str">
        <f>"Coulson and Richardsonâ€™s Chemical Engineering, Volume 3B: Process Control, 4th Edition"</f>
        <v>Coulson and Richardsonâ€™s Chemical Engineering, Volume 3B: Process Control, 4th Edition</v>
      </c>
      <c r="B571" t="str">
        <f>"9780081010549"</f>
        <v>9780081010549</v>
      </c>
      <c r="C571">
        <v>113.35</v>
      </c>
      <c r="D571" t="str">
        <f t="shared" si="43"/>
        <v>USD</v>
      </c>
      <c r="E571" t="str">
        <f>"2017"</f>
        <v>2017</v>
      </c>
      <c r="F571" t="str">
        <f>"Rohani"</f>
        <v>Rohani</v>
      </c>
      <c r="G571" t="str">
        <f>"dehkadehketab"</f>
        <v>dehkadehketab</v>
      </c>
    </row>
    <row r="572" spans="1:7" x14ac:dyDescent="0.25">
      <c r="A572" t="str">
        <f>"Crazing Technology for Polyester Fibers"</f>
        <v>Crazing Technology for Polyester Fibers</v>
      </c>
      <c r="B572" t="str">
        <f>"9780081012703"</f>
        <v>9780081012703</v>
      </c>
      <c r="C572">
        <v>180</v>
      </c>
      <c r="D572" t="str">
        <f t="shared" si="43"/>
        <v>USD</v>
      </c>
      <c r="E572" t="str">
        <f>"2017"</f>
        <v>2017</v>
      </c>
      <c r="F572" t="str">
        <f>"Goldade and Vinidikt"</f>
        <v>Goldade and Vinidikt</v>
      </c>
      <c r="G572" t="str">
        <f>"dehkadehketab"</f>
        <v>dehkadehketab</v>
      </c>
    </row>
    <row r="573" spans="1:7" x14ac:dyDescent="0.25">
      <c r="A573" t="str">
        <f>"CRC HANDBOOK OF CHEMISTRY AND PHYSICS, 91ST EDITION"</f>
        <v>CRC HANDBOOK OF CHEMISTRY AND PHYSICS, 91ST EDITION</v>
      </c>
      <c r="B573" t="str">
        <f>"9781439820773"</f>
        <v>9781439820773</v>
      </c>
      <c r="C573">
        <v>28.5</v>
      </c>
      <c r="D573" t="str">
        <f>"GBP"</f>
        <v>GBP</v>
      </c>
      <c r="E573" t="str">
        <f>"2010"</f>
        <v>2010</v>
      </c>
      <c r="F573" t="str">
        <f>"WILLIAM M. HAYNES(E"</f>
        <v>WILLIAM M. HAYNES(E</v>
      </c>
      <c r="G573" t="str">
        <f>"AsarBartar"</f>
        <v>AsarBartar</v>
      </c>
    </row>
    <row r="574" spans="1:7" x14ac:dyDescent="0.25">
      <c r="A574" t="str">
        <f>"CRC Handbook of Chemistry and Physics, 97th Edition"</f>
        <v>CRC Handbook of Chemistry and Physics, 97th Edition</v>
      </c>
      <c r="B574" t="str">
        <f>"9781498754286"</f>
        <v>9781498754286</v>
      </c>
      <c r="C574">
        <v>107.95</v>
      </c>
      <c r="D574" t="str">
        <f>"GBP"</f>
        <v>GBP</v>
      </c>
      <c r="E574" t="str">
        <f>"2015"</f>
        <v>2015</v>
      </c>
      <c r="F574" t="str">
        <f>"William M. Haynes(E"</f>
        <v>William M. Haynes(E</v>
      </c>
      <c r="G574" t="str">
        <f>"AsarBartar"</f>
        <v>AsarBartar</v>
      </c>
    </row>
    <row r="575" spans="1:7" x14ac:dyDescent="0.25">
      <c r="A575" t="str">
        <f>"CRC HANDBOOK OF ORGANIC PHOTOCHEMISTRY AND PHOTOBIOLOGY, THIRD EDITION - TWO VOLUME SET"</f>
        <v>CRC HANDBOOK OF ORGANIC PHOTOCHEMISTRY AND PHOTOBIOLOGY, THIRD EDITION - TWO VOLUME SET</v>
      </c>
      <c r="B575" t="str">
        <f>"9781439899335"</f>
        <v>9781439899335</v>
      </c>
      <c r="C575">
        <v>225</v>
      </c>
      <c r="D575" t="str">
        <f>"GBP"</f>
        <v>GBP</v>
      </c>
      <c r="E575" t="str">
        <f>"2012"</f>
        <v>2012</v>
      </c>
      <c r="F575" t="str">
        <f>"GRIESBECK"</f>
        <v>GRIESBECK</v>
      </c>
      <c r="G575" t="str">
        <f>"AsarBartar"</f>
        <v>AsarBartar</v>
      </c>
    </row>
    <row r="576" spans="1:7" x14ac:dyDescent="0.25">
      <c r="A576" t="str">
        <f>"CRC Handbook of Phase Equilibria and Thermodynamic Data of Polymer Solutions at Elevated Pressures"</f>
        <v>CRC Handbook of Phase Equilibria and Thermodynamic Data of Polymer Solutions at Elevated Pressures</v>
      </c>
      <c r="B576" t="str">
        <f>"9781498703208"</f>
        <v>9781498703208</v>
      </c>
      <c r="C576">
        <v>86.7</v>
      </c>
      <c r="D576" t="str">
        <f>"GBP"</f>
        <v>GBP</v>
      </c>
      <c r="E576" t="str">
        <f>"2015"</f>
        <v>2015</v>
      </c>
      <c r="F576" t="str">
        <f>"Christian Wohlfarth"</f>
        <v>Christian Wohlfarth</v>
      </c>
      <c r="G576" t="str">
        <f>"AsarBartar"</f>
        <v>AsarBartar</v>
      </c>
    </row>
    <row r="577" spans="1:7" x14ac:dyDescent="0.25">
      <c r="A577" t="str">
        <f>"Crime Scene Management: Scene Specific Methods,2e"</f>
        <v>Crime Scene Management: Scene Specific Methods,2e</v>
      </c>
      <c r="B577" t="str">
        <f>"9781119180906"</f>
        <v>9781119180906</v>
      </c>
      <c r="C577">
        <v>42.5</v>
      </c>
      <c r="D577" t="str">
        <f>"USD"</f>
        <v>USD</v>
      </c>
      <c r="E577" t="str">
        <f>"2016"</f>
        <v>2016</v>
      </c>
      <c r="F577" t="str">
        <f>"Sutton"</f>
        <v>Sutton</v>
      </c>
      <c r="G577" t="str">
        <f>"avanddanesh"</f>
        <v>avanddanesh</v>
      </c>
    </row>
    <row r="578" spans="1:7" x14ac:dyDescent="0.25">
      <c r="A578" t="str">
        <f>"Critical Infrastructure Protection in Homeland Security: Defending a Networked Nation"</f>
        <v>Critical Infrastructure Protection in Homeland Security: Defending a Networked Nation</v>
      </c>
      <c r="B578" t="str">
        <f>"9780471786283"</f>
        <v>9780471786283</v>
      </c>
      <c r="C578">
        <v>63</v>
      </c>
      <c r="D578" t="str">
        <f>"USD"</f>
        <v>USD</v>
      </c>
      <c r="E578" t="str">
        <f>"2006"</f>
        <v>2006</v>
      </c>
      <c r="F578" t="str">
        <f>"Lewis-Chemistry"</f>
        <v>Lewis-Chemistry</v>
      </c>
      <c r="G578" t="str">
        <f>"safirketab"</f>
        <v>safirketab</v>
      </c>
    </row>
    <row r="579" spans="1:7" x14ac:dyDescent="0.25">
      <c r="A579" t="str">
        <f>"Cross Conjugation: Modern Dendralene, Radialene and Fulvene Chemistry"</f>
        <v>Cross Conjugation: Modern Dendralene, Radialene and Fulvene Chemistry</v>
      </c>
      <c r="B579" t="str">
        <f>"9783527334377"</f>
        <v>9783527334377</v>
      </c>
      <c r="C579">
        <v>161.5</v>
      </c>
      <c r="D579" t="str">
        <f>"USD"</f>
        <v>USD</v>
      </c>
      <c r="E579" t="str">
        <f>"2016"</f>
        <v>2016</v>
      </c>
      <c r="F579" t="str">
        <f>"Hopf"</f>
        <v>Hopf</v>
      </c>
      <c r="G579" t="str">
        <f>"avanddanesh"</f>
        <v>avanddanesh</v>
      </c>
    </row>
    <row r="580" spans="1:7" x14ac:dyDescent="0.25">
      <c r="A580" t="str">
        <f>"CROSS-LINKED LIQUID CRYSTALLINE SYSTEMS: FROM RIGID POL"</f>
        <v>CROSS-LINKED LIQUID CRYSTALLINE SYSTEMS: FROM RIGID POL</v>
      </c>
      <c r="B580" t="str">
        <f>"9781420046229"</f>
        <v>9781420046229</v>
      </c>
      <c r="C580">
        <v>36.299999999999997</v>
      </c>
      <c r="D580" t="str">
        <f>"GBP"</f>
        <v>GBP</v>
      </c>
      <c r="E580" t="str">
        <f>"2011"</f>
        <v>2011</v>
      </c>
      <c r="F580" t="str">
        <f>"GREGORY P. CRAWFORD"</f>
        <v>GREGORY P. CRAWFORD</v>
      </c>
      <c r="G580" t="str">
        <f>"AsarBartar"</f>
        <v>AsarBartar</v>
      </c>
    </row>
    <row r="581" spans="1:7" x14ac:dyDescent="0.25">
      <c r="A581" t="str">
        <f>"Crystallization Process Systems (Hardcover)"</f>
        <v>Crystallization Process Systems (Hardcover)</v>
      </c>
      <c r="B581" t="str">
        <f>"9780750655200"</f>
        <v>9780750655200</v>
      </c>
      <c r="C581">
        <v>81.14</v>
      </c>
      <c r="D581" t="str">
        <f>"USD"</f>
        <v>USD</v>
      </c>
      <c r="E581" t="str">
        <f>"2002"</f>
        <v>2002</v>
      </c>
      <c r="F581" t="str">
        <f>"Alan G. Jones "</f>
        <v xml:space="preserve">Alan G. Jones </v>
      </c>
      <c r="G581" t="str">
        <f>"safirketab"</f>
        <v>safirketab</v>
      </c>
    </row>
    <row r="582" spans="1:7" x14ac:dyDescent="0.25">
      <c r="A582" t="str">
        <f>"Cumulenes in Click Reactions"</f>
        <v>Cumulenes in Click Reactions</v>
      </c>
      <c r="B582" t="str">
        <f>"9780470779323"</f>
        <v>9780470779323</v>
      </c>
      <c r="C582">
        <v>80</v>
      </c>
      <c r="D582" t="str">
        <f>"USD"</f>
        <v>USD</v>
      </c>
      <c r="E582" t="str">
        <f>"2009"</f>
        <v>2009</v>
      </c>
      <c r="F582" t="str">
        <f>"Ulrich"</f>
        <v>Ulrich</v>
      </c>
      <c r="G582" t="str">
        <f>"avanddanesh"</f>
        <v>avanddanesh</v>
      </c>
    </row>
    <row r="583" spans="1:7" x14ac:dyDescent="0.25">
      <c r="A583" t="str">
        <f>"Cumulenes in Click Reactions"</f>
        <v>Cumulenes in Click Reactions</v>
      </c>
      <c r="B583" t="str">
        <f>"9780470779323"</f>
        <v>9780470779323</v>
      </c>
      <c r="C583">
        <v>80</v>
      </c>
      <c r="D583" t="str">
        <f>"USD"</f>
        <v>USD</v>
      </c>
      <c r="E583" t="str">
        <f>"2009"</f>
        <v>2009</v>
      </c>
      <c r="F583" t="str">
        <f>"Ulrich"</f>
        <v>Ulrich</v>
      </c>
      <c r="G583" t="str">
        <f>"safirketab"</f>
        <v>safirketab</v>
      </c>
    </row>
    <row r="584" spans="1:7" x14ac:dyDescent="0.25">
      <c r="A584" t="str">
        <f>"Current Practice in Forensic Medicine, Volume 2"</f>
        <v>Current Practice in Forensic Medicine, Volume 2</v>
      </c>
      <c r="B584" t="str">
        <f>"9781118455982"</f>
        <v>9781118455982</v>
      </c>
      <c r="C584">
        <v>80.8</v>
      </c>
      <c r="D584" t="str">
        <f>"USD"</f>
        <v>USD</v>
      </c>
      <c r="E584" t="str">
        <f>"2016"</f>
        <v>2016</v>
      </c>
      <c r="F584" t="str">
        <f>"Gall"</f>
        <v>Gall</v>
      </c>
      <c r="G584" t="str">
        <f>"avanddanesh"</f>
        <v>avanddanesh</v>
      </c>
    </row>
    <row r="585" spans="1:7" x14ac:dyDescent="0.25">
      <c r="A585" t="str">
        <f>"Current Trends and Future Developments on (Bio-) Membranes, Silica Membranes: Preparation, Modelling, Application, and Commercialization"</f>
        <v>Current Trends and Future Developments on (Bio-) Membranes, Silica Membranes: Preparation, Modelling, Application, and Commercialization</v>
      </c>
      <c r="B585" t="str">
        <f>"9780444638656"</f>
        <v>9780444638656</v>
      </c>
      <c r="C585">
        <v>234</v>
      </c>
      <c r="D585" t="str">
        <f>"USD"</f>
        <v>USD</v>
      </c>
      <c r="E585" t="str">
        <f>"2017"</f>
        <v>2017</v>
      </c>
      <c r="F585" t="str">
        <f>"Basile and Ghasemzad"</f>
        <v>Basile and Ghasemzad</v>
      </c>
      <c r="G585" t="str">
        <f>"dehkadehketab"</f>
        <v>dehkadehketab</v>
      </c>
    </row>
    <row r="586" spans="1:7" x14ac:dyDescent="0.25">
      <c r="A586" t="str">
        <f>"Cycloadditions in Bioorthogonal Chemistry"</f>
        <v>Cycloadditions in Bioorthogonal Chemistry</v>
      </c>
      <c r="B586" t="str">
        <f>"9783319296845"</f>
        <v>9783319296845</v>
      </c>
      <c r="C586">
        <v>197.99</v>
      </c>
      <c r="D586" t="str">
        <f>"EUR"</f>
        <v>EUR</v>
      </c>
      <c r="E586" t="str">
        <f>"2016"</f>
        <v>2016</v>
      </c>
      <c r="F586" t="str">
        <f>"Vrabel"</f>
        <v>Vrabel</v>
      </c>
      <c r="G586" t="str">
        <f>"negarestanabi"</f>
        <v>negarestanabi</v>
      </c>
    </row>
    <row r="587" spans="1:7" x14ac:dyDescent="0.25">
      <c r="A587" t="str">
        <f>"Cyclodextrins: Properties and Applications"</f>
        <v>Cyclodextrins: Properties and Applications</v>
      </c>
      <c r="B587" t="str">
        <f>"9783527339808"</f>
        <v>9783527339808</v>
      </c>
      <c r="C587">
        <v>171</v>
      </c>
      <c r="D587" t="str">
        <f t="shared" ref="D587:D595" si="44">"USD"</f>
        <v>USD</v>
      </c>
      <c r="E587" t="str">
        <f>"2017"</f>
        <v>2017</v>
      </c>
      <c r="F587" t="str">
        <f>"Sliwa"</f>
        <v>Sliwa</v>
      </c>
      <c r="G587" t="str">
        <f>"avanddanesh"</f>
        <v>avanddanesh</v>
      </c>
    </row>
    <row r="588" spans="1:7" x14ac:dyDescent="0.25">
      <c r="A588" t="str">
        <f>"Cyclopropanes in Organic Synthesis"</f>
        <v>Cyclopropanes in Organic Synthesis</v>
      </c>
      <c r="B588" t="str">
        <f>"9781118057438"</f>
        <v>9781118057438</v>
      </c>
      <c r="C588">
        <v>140</v>
      </c>
      <c r="D588" t="str">
        <f t="shared" si="44"/>
        <v>USD</v>
      </c>
      <c r="E588" t="str">
        <f>"2015"</f>
        <v>2015</v>
      </c>
      <c r="F588" t="str">
        <f>"Kulinkovich"</f>
        <v>Kulinkovich</v>
      </c>
      <c r="G588" t="str">
        <f>"avanddanesh"</f>
        <v>avanddanesh</v>
      </c>
    </row>
    <row r="589" spans="1:7" x14ac:dyDescent="0.25">
      <c r="A589" t="str">
        <f>"Databook of Adhesion Promoters"</f>
        <v>Databook of Adhesion Promoters</v>
      </c>
      <c r="B589" t="str">
        <f>"9781927885239"</f>
        <v>9781927885239</v>
      </c>
      <c r="C589">
        <v>256.5</v>
      </c>
      <c r="D589" t="str">
        <f t="shared" si="44"/>
        <v>USD</v>
      </c>
      <c r="E589" t="str">
        <f>"2018"</f>
        <v>2018</v>
      </c>
      <c r="F589" t="str">
        <f>"Wypych"</f>
        <v>Wypych</v>
      </c>
      <c r="G589" t="str">
        <f>"dehkadehketab"</f>
        <v>dehkadehketab</v>
      </c>
    </row>
    <row r="590" spans="1:7" x14ac:dyDescent="0.25">
      <c r="A590" t="str">
        <f>"Databook of Plasticizers, 2nd Edition"</f>
        <v>Databook of Plasticizers, 2nd Edition</v>
      </c>
      <c r="B590" t="str">
        <f>"9781895198966"</f>
        <v>9781895198966</v>
      </c>
      <c r="C590">
        <v>297</v>
      </c>
      <c r="D590" t="str">
        <f t="shared" si="44"/>
        <v>USD</v>
      </c>
      <c r="E590" t="str">
        <f>"2017"</f>
        <v>2017</v>
      </c>
      <c r="F590" t="str">
        <f>"Wypych"</f>
        <v>Wypych</v>
      </c>
      <c r="G590" t="str">
        <f>"dehkadehketab"</f>
        <v>dehkadehketab</v>
      </c>
    </row>
    <row r="591" spans="1:7" x14ac:dyDescent="0.25">
      <c r="A591" t="str">
        <f>"Databook of Surface Modification Additives"</f>
        <v>Databook of Surface Modification Additives</v>
      </c>
      <c r="B591" t="str">
        <f>"9781927885338"</f>
        <v>9781927885338</v>
      </c>
      <c r="C591">
        <v>256.5</v>
      </c>
      <c r="D591" t="str">
        <f t="shared" si="44"/>
        <v>USD</v>
      </c>
      <c r="E591" t="str">
        <f>"2018"</f>
        <v>2018</v>
      </c>
      <c r="F591" t="str">
        <f>"Wypych"</f>
        <v>Wypych</v>
      </c>
      <c r="G591" t="str">
        <f>"dehkadehketab"</f>
        <v>dehkadehketab</v>
      </c>
    </row>
    <row r="592" spans="1:7" x14ac:dyDescent="0.25">
      <c r="A592" t="str">
        <f>"Deactivation of Heavy Oil Hydroprocessing Catalysts: Fundamentals and Modeling"</f>
        <v>Deactivation of Heavy Oil Hydroprocessing Catalysts: Fundamentals and Modeling</v>
      </c>
      <c r="B592" t="str">
        <f>"9781118769843"</f>
        <v>9781118769843</v>
      </c>
      <c r="C592">
        <v>127.5</v>
      </c>
      <c r="D592" t="str">
        <f t="shared" si="44"/>
        <v>USD</v>
      </c>
      <c r="E592" t="str">
        <f>"2016"</f>
        <v>2016</v>
      </c>
      <c r="F592" t="str">
        <f>"Ancheyta"</f>
        <v>Ancheyta</v>
      </c>
      <c r="G592" t="str">
        <f>"avanddanesh"</f>
        <v>avanddanesh</v>
      </c>
    </row>
    <row r="593" spans="1:7" x14ac:dyDescent="0.25">
      <c r="A593" t="str">
        <f>"Demystifying Embedded Systems Middleware"</f>
        <v>Demystifying Embedded Systems Middleware</v>
      </c>
      <c r="B593" t="str">
        <f>"9780128102091"</f>
        <v>9780128102091</v>
      </c>
      <c r="C593">
        <v>75.55</v>
      </c>
      <c r="D593" t="str">
        <f t="shared" si="44"/>
        <v>USD</v>
      </c>
      <c r="E593" t="str">
        <f>"2017"</f>
        <v>2017</v>
      </c>
      <c r="F593" t="str">
        <f>"Noergaard"</f>
        <v>Noergaard</v>
      </c>
      <c r="G593" t="str">
        <f>"dehkadehketab"</f>
        <v>dehkadehketab</v>
      </c>
    </row>
    <row r="594" spans="1:7" x14ac:dyDescent="0.25">
      <c r="A594" t="str">
        <f>"Dendrimer Chemistry:Concepts, Syntheses, Properties, Applications"</f>
        <v>Dendrimer Chemistry:Concepts, Syntheses, Properties, Applications</v>
      </c>
      <c r="B594" t="str">
        <f>"9783527320660"</f>
        <v>9783527320660</v>
      </c>
      <c r="C594">
        <v>88.2</v>
      </c>
      <c r="D594" t="str">
        <f t="shared" si="44"/>
        <v>USD</v>
      </c>
      <c r="E594" t="str">
        <f>"2009"</f>
        <v>2009</v>
      </c>
      <c r="F594" t="str">
        <f>"V?gtle"</f>
        <v>V?gtle</v>
      </c>
      <c r="G594" t="str">
        <f>"safirketab"</f>
        <v>safirketab</v>
      </c>
    </row>
    <row r="595" spans="1:7" x14ac:dyDescent="0.25">
      <c r="A595" t="str">
        <f>"Dendrimers: Towards Catalytic, Material and Biomedical Uses"</f>
        <v>Dendrimers: Towards Catalytic, Material and Biomedical Uses</v>
      </c>
      <c r="B595" t="str">
        <f>"9780470748817"</f>
        <v>9780470748817</v>
      </c>
      <c r="C595">
        <v>66</v>
      </c>
      <c r="D595" t="str">
        <f t="shared" si="44"/>
        <v>USD</v>
      </c>
      <c r="E595" t="str">
        <f>"2011"</f>
        <v>2011</v>
      </c>
      <c r="F595" t="str">
        <f>"Caminade"</f>
        <v>Caminade</v>
      </c>
      <c r="G595" t="str">
        <f>"avanddanesh"</f>
        <v>avanddanesh</v>
      </c>
    </row>
    <row r="596" spans="1:7" x14ac:dyDescent="0.25">
      <c r="A596" t="str">
        <f>"DERMATOKINETICS OF THERAPEUTIC AGEN"</f>
        <v>DERMATOKINETICS OF THERAPEUTIC AGEN</v>
      </c>
      <c r="B596" t="str">
        <f>"9781439804773"</f>
        <v>9781439804773</v>
      </c>
      <c r="C596">
        <v>24.6</v>
      </c>
      <c r="D596" t="str">
        <f>"GBP"</f>
        <v>GBP</v>
      </c>
      <c r="E596" t="str">
        <f>"2011"</f>
        <v>2011</v>
      </c>
      <c r="F596" t="str">
        <f>"S NARASIMHA MURTHY("</f>
        <v>S NARASIMHA MURTHY(</v>
      </c>
      <c r="G596" t="str">
        <f>"AsarBartar"</f>
        <v>AsarBartar</v>
      </c>
    </row>
    <row r="597" spans="1:7" x14ac:dyDescent="0.25">
      <c r="A597" t="str">
        <f>"Desalination Sustainability, A Technical, Socioeconomic, and Environmental Approach"</f>
        <v>Desalination Sustainability, A Technical, Socioeconomic, and Environmental Approach</v>
      </c>
      <c r="B597" t="str">
        <f>"9780128097649"</f>
        <v>9780128097649</v>
      </c>
      <c r="C597">
        <v>189</v>
      </c>
      <c r="D597" t="str">
        <f>"USD"</f>
        <v>USD</v>
      </c>
      <c r="E597" t="str">
        <f>"2017"</f>
        <v>2017</v>
      </c>
      <c r="F597" t="str">
        <f>"Arafat"</f>
        <v>Arafat</v>
      </c>
      <c r="G597" t="str">
        <f>"dehkadehketab"</f>
        <v>dehkadehketab</v>
      </c>
    </row>
    <row r="598" spans="1:7" x14ac:dyDescent="0.25">
      <c r="A598" t="str">
        <f>"DESIGN AND USE OF RELATIONAL DATABASES IN CHEMISTRY"</f>
        <v>DESIGN AND USE OF RELATIONAL DATABASES IN CHEMISTRY</v>
      </c>
      <c r="B598" t="str">
        <f>"9781420064421"</f>
        <v>9781420064421</v>
      </c>
      <c r="C598">
        <v>24.6</v>
      </c>
      <c r="D598" t="str">
        <f>"GBP"</f>
        <v>GBP</v>
      </c>
      <c r="E598" t="str">
        <f>"2009"</f>
        <v>2009</v>
      </c>
      <c r="F598" t="str">
        <f>"TJ O'DONNELL"</f>
        <v>TJ O'DONNELL</v>
      </c>
      <c r="G598" t="str">
        <f>"AsarBartar"</f>
        <v>AsarBartar</v>
      </c>
    </row>
    <row r="599" spans="1:7" x14ac:dyDescent="0.25">
      <c r="A599" t="str">
        <f>"DESIGN OF CASPASE INHIBITORS AS POTENTIAL CLINICAL AGENTS"</f>
        <v>DESIGN OF CASPASE INHIBITORS AS POTENTIAL CLINICAL AGENTS</v>
      </c>
      <c r="B599" t="str">
        <f>"9781420045406"</f>
        <v>9781420045406</v>
      </c>
      <c r="C599">
        <v>35.700000000000003</v>
      </c>
      <c r="D599" t="str">
        <f>"GBP"</f>
        <v>GBP</v>
      </c>
      <c r="E599" t="str">
        <f>"2009"</f>
        <v>2009</v>
      </c>
      <c r="F599" t="str">
        <f>"TOM O'BRIEN AND STE"</f>
        <v>TOM O'BRIEN AND STE</v>
      </c>
      <c r="G599" t="str">
        <f>"AsarBartar"</f>
        <v>AsarBartar</v>
      </c>
    </row>
    <row r="600" spans="1:7" x14ac:dyDescent="0.25">
      <c r="A600" t="str">
        <f>"Designing Dendrimers"</f>
        <v>Designing Dendrimers</v>
      </c>
      <c r="B600" t="str">
        <f>"9780470433553"</f>
        <v>9780470433553</v>
      </c>
      <c r="C600">
        <v>66.400000000000006</v>
      </c>
      <c r="D600" t="str">
        <f>"USD"</f>
        <v>USD</v>
      </c>
      <c r="E600" t="str">
        <f>"2011"</f>
        <v>2011</v>
      </c>
      <c r="F600" t="str">
        <f>"Campagna"</f>
        <v>Campagna</v>
      </c>
      <c r="G600" t="str">
        <f>"avanddanesh"</f>
        <v>avanddanesh</v>
      </c>
    </row>
    <row r="601" spans="1:7" x14ac:dyDescent="0.25">
      <c r="A601" t="str">
        <f>"Detection of Drugs and Their Metabolites in Oral Fluid"</f>
        <v>Detection of Drugs and Their Metabolites in Oral Fluid</v>
      </c>
      <c r="B601" t="str">
        <f>"9780128145746"</f>
        <v>9780128145746</v>
      </c>
      <c r="C601">
        <v>77.349999999999994</v>
      </c>
      <c r="D601" t="str">
        <f>"USD"</f>
        <v>USD</v>
      </c>
      <c r="E601" t="str">
        <f>"2018"</f>
        <v>2018</v>
      </c>
      <c r="F601" t="str">
        <f>"White and Moore"</f>
        <v>White and Moore</v>
      </c>
      <c r="G601" t="str">
        <f>"dehkadehketab"</f>
        <v>dehkadehketab</v>
      </c>
    </row>
    <row r="602" spans="1:7" x14ac:dyDescent="0.25">
      <c r="A602" t="str">
        <f>"DEVELOPMENT AND APPLICATION OF BIOMARKERS"</f>
        <v>DEVELOPMENT AND APPLICATION OF BIOMARKERS</v>
      </c>
      <c r="B602" t="str">
        <f>"9781439819791"</f>
        <v>9781439819791</v>
      </c>
      <c r="C602">
        <v>29.7</v>
      </c>
      <c r="D602" t="str">
        <f>"GBP"</f>
        <v>GBP</v>
      </c>
      <c r="E602" t="str">
        <f>"2011"</f>
        <v>2011</v>
      </c>
      <c r="F602" t="str">
        <f>"LUNDBLAD"</f>
        <v>LUNDBLAD</v>
      </c>
      <c r="G602" t="str">
        <f>"AsarBartar"</f>
        <v>AsarBartar</v>
      </c>
    </row>
    <row r="603" spans="1:7" x14ac:dyDescent="0.25">
      <c r="A603" t="str">
        <f>"Development of Catalysis: A History of Key Processes and Personas in Catalytic Science and Technology"</f>
        <v>Development of Catalysis: A History of Key Processes and Personas in Catalytic Science and Technology</v>
      </c>
      <c r="B603" t="str">
        <f>"9781119181262"</f>
        <v>9781119181262</v>
      </c>
      <c r="C603">
        <v>112.5</v>
      </c>
      <c r="D603" t="str">
        <f>"USD"</f>
        <v>USD</v>
      </c>
      <c r="E603" t="str">
        <f>"2017"</f>
        <v>2017</v>
      </c>
      <c r="F603" t="str">
        <f>"Zecchina"</f>
        <v>Zecchina</v>
      </c>
      <c r="G603" t="str">
        <f>"avanddanesh"</f>
        <v>avanddanesh</v>
      </c>
    </row>
    <row r="604" spans="1:7" x14ac:dyDescent="0.25">
      <c r="A604" t="str">
        <f>"Diagnostic Enzymology (de Gruyter Textbook)"</f>
        <v>Diagnostic Enzymology (de Gruyter Textbook)</v>
      </c>
      <c r="B604" t="str">
        <f>"9783110207248"</f>
        <v>9783110207248</v>
      </c>
      <c r="C604">
        <v>56</v>
      </c>
      <c r="D604" t="str">
        <f>"EUR"</f>
        <v>EUR</v>
      </c>
      <c r="E604" t="str">
        <f>"2014"</f>
        <v>2014</v>
      </c>
      <c r="F604" t="str">
        <f>"Hassan M. E. Azzazy"</f>
        <v>Hassan M. E. Azzazy</v>
      </c>
      <c r="G604" t="str">
        <f>"AsarBartar"</f>
        <v>AsarBartar</v>
      </c>
    </row>
    <row r="605" spans="1:7" x14ac:dyDescent="0.25">
      <c r="A605" t="str">
        <f>"DIAMONDOID MOLECULES: WITH APPLICATIONS IN BIOMEDICINE, MATERIALS SCIENCE, NANOTECHNOLOGY &amp; PETROLEU"</f>
        <v>DIAMONDOID MOLECULES: WITH APPLICATIONS IN BIOMEDICINE, MATERIALS SCIENCE, NANOTECHNOLOGY &amp; PETROLEU</v>
      </c>
      <c r="B605" t="str">
        <f>"9789814291606"</f>
        <v>9789814291606</v>
      </c>
      <c r="C605">
        <v>67.2</v>
      </c>
      <c r="D605" t="str">
        <f>"GBP"</f>
        <v>GBP</v>
      </c>
      <c r="E605" t="str">
        <f>"2012"</f>
        <v>2012</v>
      </c>
      <c r="F605" t="str">
        <f>"MANSOORI G ALI ET A"</f>
        <v>MANSOORI G ALI ET A</v>
      </c>
      <c r="G605" t="str">
        <f>"AsarBartar"</f>
        <v>AsarBartar</v>
      </c>
    </row>
    <row r="606" spans="1:7" x14ac:dyDescent="0.25">
      <c r="A606" t="str">
        <f>"Dielectrophoresis: Theory, Methodology and Biological Applications"</f>
        <v>Dielectrophoresis: Theory, Methodology and Biological Applications</v>
      </c>
      <c r="B606" t="str">
        <f>"9781118671450"</f>
        <v>9781118671450</v>
      </c>
      <c r="C606">
        <v>121.5</v>
      </c>
      <c r="D606" t="str">
        <f>"USD"</f>
        <v>USD</v>
      </c>
      <c r="E606" t="str">
        <f>"2017"</f>
        <v>2017</v>
      </c>
      <c r="F606" t="str">
        <f>"Pethig"</f>
        <v>Pethig</v>
      </c>
      <c r="G606" t="str">
        <f>"avanddanesh"</f>
        <v>avanddanesh</v>
      </c>
    </row>
    <row r="607" spans="1:7" x14ac:dyDescent="0.25">
      <c r="A607" t="str">
        <f>"DIFFERENTIAL ION MOBILITY SPECTROMETRY NONLINEAR ION TR"</f>
        <v>DIFFERENTIAL ION MOBILITY SPECTROMETRY NONLINEAR ION TR</v>
      </c>
      <c r="B607" t="str">
        <f>"9781420051063"</f>
        <v>9781420051063</v>
      </c>
      <c r="C607">
        <v>29.7</v>
      </c>
      <c r="D607" t="str">
        <f>"GBP"</f>
        <v>GBP</v>
      </c>
      <c r="E607" t="str">
        <f>"2009"</f>
        <v>2009</v>
      </c>
      <c r="F607" t="str">
        <f>"ALEXANDRE A. SHVART"</f>
        <v>ALEXANDRE A. SHVART</v>
      </c>
      <c r="G607" t="str">
        <f>"AsarBartar"</f>
        <v>AsarBartar</v>
      </c>
    </row>
    <row r="608" spans="1:7" x14ac:dyDescent="0.25">
      <c r="A608" t="str">
        <f>"Digital Forensics"</f>
        <v>Digital Forensics</v>
      </c>
      <c r="B608" t="str">
        <f>"9781119262381"</f>
        <v>9781119262381</v>
      </c>
      <c r="C608">
        <v>67.5</v>
      </c>
      <c r="D608" t="str">
        <f>"USD"</f>
        <v>USD</v>
      </c>
      <c r="E608" t="str">
        <f>"2017"</f>
        <v>2017</v>
      </c>
      <c r="F608" t="str">
        <f>"?rnes"</f>
        <v>?rnes</v>
      </c>
      <c r="G608" t="str">
        <f>"avanddanesh"</f>
        <v>avanddanesh</v>
      </c>
    </row>
    <row r="609" spans="1:7" x14ac:dyDescent="0.25">
      <c r="A609" t="str">
        <f>"Digital Simulation in Electrochemistry. 4/ed"</f>
        <v>Digital Simulation in Electrochemistry. 4/ed</v>
      </c>
      <c r="B609" t="str">
        <f>"9783319302904"</f>
        <v>9783319302904</v>
      </c>
      <c r="C609">
        <v>152.99</v>
      </c>
      <c r="D609" t="str">
        <f>"EUR"</f>
        <v>EUR</v>
      </c>
      <c r="E609" t="str">
        <f>"2016"</f>
        <v>2016</v>
      </c>
      <c r="F609" t="str">
        <f>"Britz"</f>
        <v>Britz</v>
      </c>
      <c r="G609" t="str">
        <f>"negarestanabi"</f>
        <v>negarestanabi</v>
      </c>
    </row>
    <row r="610" spans="1:7" x14ac:dyDescent="0.25">
      <c r="A610" t="str">
        <f>"Dioxins and Health Including Other Persistent Organic Pollutants and Endocrine Disruptors,3e"</f>
        <v>Dioxins and Health Including Other Persistent Organic Pollutants and Endocrine Disruptors,3e</v>
      </c>
      <c r="B610" t="str">
        <f>"9780470605295"</f>
        <v>9780470605295</v>
      </c>
      <c r="C610">
        <v>93.6</v>
      </c>
      <c r="D610" t="str">
        <f t="shared" ref="D610:D617" si="45">"USD"</f>
        <v>USD</v>
      </c>
      <c r="E610" t="str">
        <f>"2012"</f>
        <v>2012</v>
      </c>
      <c r="F610" t="str">
        <f>"Schecter"</f>
        <v>Schecter</v>
      </c>
      <c r="G610" t="str">
        <f>"avanddanesh"</f>
        <v>avanddanesh</v>
      </c>
    </row>
    <row r="611" spans="1:7" x14ac:dyDescent="0.25">
      <c r="A611" t="str">
        <f>"Direct Analysis in Real Time Mass Spectrometry: Principles and Practices of DART-MS"</f>
        <v>Direct Analysis in Real Time Mass Spectrometry: Principles and Practices of DART-MS</v>
      </c>
      <c r="B611" t="str">
        <f>"9783527341849"</f>
        <v>9783527341849</v>
      </c>
      <c r="C611">
        <v>157.5</v>
      </c>
      <c r="D611" t="str">
        <f t="shared" si="45"/>
        <v>USD</v>
      </c>
      <c r="E611" t="str">
        <f>"2018"</f>
        <v>2018</v>
      </c>
      <c r="F611" t="str">
        <f>"Dong"</f>
        <v>Dong</v>
      </c>
      <c r="G611" t="str">
        <f>"avanddanesh"</f>
        <v>avanddanesh</v>
      </c>
    </row>
    <row r="612" spans="1:7" x14ac:dyDescent="0.25">
      <c r="A612" t="str">
        <f>"Directed Evolution of Selective Enzymes: Catalysts for Organic Chemistry and Biotechnology"</f>
        <v>Directed Evolution of Selective Enzymes: Catalysts for Organic Chemistry and Biotechnology</v>
      </c>
      <c r="B612" t="str">
        <f>"9783527316601"</f>
        <v>9783527316601</v>
      </c>
      <c r="C612">
        <v>174.3</v>
      </c>
      <c r="D612" t="str">
        <f t="shared" si="45"/>
        <v>USD</v>
      </c>
      <c r="E612" t="str">
        <f>"2016"</f>
        <v>2016</v>
      </c>
      <c r="F612" t="str">
        <f>"Reetz"</f>
        <v>Reetz</v>
      </c>
      <c r="G612" t="str">
        <f>"avanddanesh"</f>
        <v>avanddanesh</v>
      </c>
    </row>
    <row r="613" spans="1:7" x14ac:dyDescent="0.25">
      <c r="A613" t="str">
        <f>"Discovering the Future of Molecular Sciences"</f>
        <v>Discovering the Future of Molecular Sciences</v>
      </c>
      <c r="B613" t="str">
        <f>"9783527335442"</f>
        <v>9783527335442</v>
      </c>
      <c r="C613">
        <v>93.7</v>
      </c>
      <c r="D613" t="str">
        <f t="shared" si="45"/>
        <v>USD</v>
      </c>
      <c r="E613" t="str">
        <f>"2014"</f>
        <v>2014</v>
      </c>
      <c r="F613" t="str">
        <f>"Pignataro"</f>
        <v>Pignataro</v>
      </c>
      <c r="G613" t="str">
        <f>"avanddanesh"</f>
        <v>avanddanesh</v>
      </c>
    </row>
    <row r="614" spans="1:7" x14ac:dyDescent="0.25">
      <c r="A614" t="str">
        <f>"DNA Engineered Noble Metal Nanoparticles: Fundamentals and State-of-the-Art of Nanobiotechnology"</f>
        <v>DNA Engineered Noble Metal Nanoparticles: Fundamentals and State-of-the-Art of Nanobiotechnology</v>
      </c>
      <c r="B614" t="str">
        <f>"9781118072141"</f>
        <v>9781118072141</v>
      </c>
      <c r="C614">
        <v>180</v>
      </c>
      <c r="D614" t="str">
        <f t="shared" si="45"/>
        <v>USD</v>
      </c>
      <c r="E614" t="str">
        <f>"2015"</f>
        <v>2015</v>
      </c>
      <c r="F614" t="str">
        <f>"Capek"</f>
        <v>Capek</v>
      </c>
      <c r="G614" t="str">
        <f>"avanddanesh"</f>
        <v>avanddanesh</v>
      </c>
    </row>
    <row r="615" spans="1:7" x14ac:dyDescent="0.25">
      <c r="A615" t="str">
        <f>"DNA Interactions with Polymers and Surfactants"</f>
        <v>DNA Interactions with Polymers and Surfactants</v>
      </c>
      <c r="B615" t="str">
        <f>"9780470258187"</f>
        <v>9780470258187</v>
      </c>
      <c r="C615">
        <v>101.4</v>
      </c>
      <c r="D615" t="str">
        <f t="shared" si="45"/>
        <v>USD</v>
      </c>
      <c r="E615" t="str">
        <f>"2008"</f>
        <v>2008</v>
      </c>
      <c r="F615" t="str">
        <f>"Dias"</f>
        <v>Dias</v>
      </c>
      <c r="G615" t="str">
        <f>"safirketab"</f>
        <v>safirketab</v>
      </c>
    </row>
    <row r="616" spans="1:7" x14ac:dyDescent="0.25">
      <c r="A616" t="str">
        <f>"Domino and Intramolecular Rearrangement Reactions as Advanced Synthetic Methods in Glycoscience"</f>
        <v>Domino and Intramolecular Rearrangement Reactions as Advanced Synthetic Methods in Glycoscience</v>
      </c>
      <c r="B616" t="str">
        <f>"9781119044208"</f>
        <v>9781119044208</v>
      </c>
      <c r="C616">
        <v>148.80000000000001</v>
      </c>
      <c r="D616" t="str">
        <f t="shared" si="45"/>
        <v>USD</v>
      </c>
      <c r="E616" t="str">
        <f>"2016"</f>
        <v>2016</v>
      </c>
      <c r="F616" t="str">
        <f>"Witczak"</f>
        <v>Witczak</v>
      </c>
      <c r="G616" t="str">
        <f>"avanddanesh"</f>
        <v>avanddanesh</v>
      </c>
    </row>
    <row r="617" spans="1:7" x14ac:dyDescent="0.25">
      <c r="A617" t="str">
        <f>"Dried Blood Spots Sampling and Its Applications"</f>
        <v>Dried Blood Spots Sampling and Its Applications</v>
      </c>
      <c r="B617" t="str">
        <f>"9781118054697"</f>
        <v>9781118054697</v>
      </c>
      <c r="C617">
        <v>96.8</v>
      </c>
      <c r="D617" t="str">
        <f t="shared" si="45"/>
        <v>USD</v>
      </c>
      <c r="E617" t="str">
        <f>"2014"</f>
        <v>2014</v>
      </c>
      <c r="F617" t="str">
        <f>"Li"</f>
        <v>Li</v>
      </c>
      <c r="G617" t="str">
        <f>"avanddanesh"</f>
        <v>avanddanesh</v>
      </c>
    </row>
    <row r="618" spans="1:7" x14ac:dyDescent="0.25">
      <c r="A618" t="str">
        <f>"Drug Design and Action"</f>
        <v>Drug Design and Action</v>
      </c>
      <c r="B618" t="str">
        <f>"9783110528367"</f>
        <v>9783110528367</v>
      </c>
      <c r="C618">
        <v>53.95</v>
      </c>
      <c r="D618" t="str">
        <f>"EUR"</f>
        <v>EUR</v>
      </c>
      <c r="E618" t="str">
        <f>"2017"</f>
        <v>2017</v>
      </c>
      <c r="F618" t="str">
        <f>"Campos Rosa, Joaqu?"</f>
        <v>Campos Rosa, Joaqu?</v>
      </c>
      <c r="G618" t="str">
        <f>"AsarBartar"</f>
        <v>AsarBartar</v>
      </c>
    </row>
    <row r="619" spans="1:7" x14ac:dyDescent="0.25">
      <c r="A619" t="str">
        <f>"Drug Repositioning: Bringing New Life to Shelved Assets and Existing Drugs"</f>
        <v>Drug Repositioning: Bringing New Life to Shelved Assets and Existing Drugs</v>
      </c>
      <c r="B619" t="str">
        <f>"9780470878279"</f>
        <v>9780470878279</v>
      </c>
      <c r="C619">
        <v>82.2</v>
      </c>
      <c r="D619" t="str">
        <f>"USD"</f>
        <v>USD</v>
      </c>
      <c r="E619" t="str">
        <f>"2012"</f>
        <v>2012</v>
      </c>
      <c r="F619" t="str">
        <f>"Barratt"</f>
        <v>Barratt</v>
      </c>
      <c r="G619" t="str">
        <f>"avanddanesh"</f>
        <v>avanddanesh</v>
      </c>
    </row>
    <row r="620" spans="1:7" x14ac:dyDescent="0.25">
      <c r="A620" t="str">
        <f>"Drugs and Their Biological Targets"</f>
        <v>Drugs and Their Biological Targets</v>
      </c>
      <c r="B620" t="str">
        <f>"9783110528510"</f>
        <v>9783110528510</v>
      </c>
      <c r="C620">
        <v>53.95</v>
      </c>
      <c r="D620" t="str">
        <f>"EUR"</f>
        <v>EUR</v>
      </c>
      <c r="E620" t="str">
        <f>"2018"</f>
        <v>2018</v>
      </c>
      <c r="F620" t="str">
        <f>"Campos Rosa, Joaqu?"</f>
        <v>Campos Rosa, Joaqu?</v>
      </c>
      <c r="G620" t="str">
        <f>"AsarBartar"</f>
        <v>AsarBartar</v>
      </c>
    </row>
    <row r="621" spans="1:7" x14ac:dyDescent="0.25">
      <c r="A621" t="str">
        <f>"Dust Explosions in the Process Industries"</f>
        <v>Dust Explosions in the Process Industries</v>
      </c>
      <c r="B621" t="str">
        <f>"9780123814968"</f>
        <v>9780123814968</v>
      </c>
      <c r="C621">
        <v>184.5</v>
      </c>
      <c r="D621" t="str">
        <f>"USD"</f>
        <v>USD</v>
      </c>
      <c r="E621" t="str">
        <f>"2017"</f>
        <v>2017</v>
      </c>
      <c r="F621" t="str">
        <f>"Eckhoff, Rolf"</f>
        <v>Eckhoff, Rolf</v>
      </c>
      <c r="G621" t="str">
        <f>"dehkadehketab"</f>
        <v>dehkadehketab</v>
      </c>
    </row>
    <row r="622" spans="1:7" x14ac:dyDescent="0.25">
      <c r="A622" t="str">
        <f>"Dust Explosions in the Process Industries, Identification, Assessment, Prevention and Mitigation, 4th Edition"</f>
        <v>Dust Explosions in the Process Industries, Identification, Assessment, Prevention and Mitigation, 4th Edition</v>
      </c>
      <c r="B622" t="str">
        <f>"9780128044223"</f>
        <v>9780128044223</v>
      </c>
      <c r="C622">
        <v>184.5</v>
      </c>
      <c r="D622" t="str">
        <f>"USD"</f>
        <v>USD</v>
      </c>
      <c r="E622" t="str">
        <f>"2017"</f>
        <v>2017</v>
      </c>
      <c r="F622" t="str">
        <f>"Eckhoff and Skjold"</f>
        <v>Eckhoff and Skjold</v>
      </c>
      <c r="G622" t="str">
        <f>"dehkadehketab"</f>
        <v>dehkadehketab</v>
      </c>
    </row>
    <row r="623" spans="1:7" x14ac:dyDescent="0.25">
      <c r="A623" t="str">
        <f>"Dynamic Combinatorial Chemistry"</f>
        <v>Dynamic Combinatorial Chemistry</v>
      </c>
      <c r="B623" t="str">
        <f>"9783527321223"</f>
        <v>9783527321223</v>
      </c>
      <c r="C623">
        <v>100.79</v>
      </c>
      <c r="D623" t="str">
        <f>"USD"</f>
        <v>USD</v>
      </c>
      <c r="E623" t="str">
        <f>"2010"</f>
        <v>2010</v>
      </c>
      <c r="F623" t="str">
        <f>"Reek"</f>
        <v>Reek</v>
      </c>
      <c r="G623" t="str">
        <f>"safirketab"</f>
        <v>safirketab</v>
      </c>
    </row>
    <row r="624" spans="1:7" x14ac:dyDescent="0.25">
      <c r="A624" t="str">
        <f>"Dynamic Covalent Chemistry: Principles, Reactions, and Applications"</f>
        <v>Dynamic Covalent Chemistry: Principles, Reactions, and Applications</v>
      </c>
      <c r="B624" t="str">
        <f>"9781119075639"</f>
        <v>9781119075639</v>
      </c>
      <c r="C624">
        <v>157.5</v>
      </c>
      <c r="D624" t="str">
        <f>"USD"</f>
        <v>USD</v>
      </c>
      <c r="E624" t="str">
        <f>"2017"</f>
        <v>2017</v>
      </c>
      <c r="F624" t="str">
        <f>"Zhang"</f>
        <v>Zhang</v>
      </c>
      <c r="G624" t="str">
        <f>"avanddanesh"</f>
        <v>avanddanesh</v>
      </c>
    </row>
    <row r="625" spans="1:7" x14ac:dyDescent="0.25">
      <c r="A625" t="str">
        <f>"Dynamic Modeling and Predictive Control in Solid Oxide Fuel Cells: First Principle and Data-based Approaches"</f>
        <v>Dynamic Modeling and Predictive Control in Solid Oxide Fuel Cells: First Principle and Data-based Approaches</v>
      </c>
      <c r="B625" t="str">
        <f>"9780470973912"</f>
        <v>9780470973912</v>
      </c>
      <c r="C625">
        <v>81.3</v>
      </c>
      <c r="D625" t="str">
        <f>"USD"</f>
        <v>USD</v>
      </c>
      <c r="E625" t="str">
        <f>"2013"</f>
        <v>2013</v>
      </c>
      <c r="F625" t="str">
        <f>"Huang"</f>
        <v>Huang</v>
      </c>
      <c r="G625" t="str">
        <f>"avanddanesh"</f>
        <v>avanddanesh</v>
      </c>
    </row>
    <row r="626" spans="1:7" x14ac:dyDescent="0.25">
      <c r="A626" t="str">
        <f>"Dynamical Astrochemistry"</f>
        <v>Dynamical Astrochemistry</v>
      </c>
      <c r="B626" t="str">
        <f>"9781782627760"</f>
        <v>9781782627760</v>
      </c>
      <c r="C626">
        <v>135.19999999999999</v>
      </c>
      <c r="D626" t="str">
        <f>"GBP"</f>
        <v>GBP</v>
      </c>
      <c r="E626" t="str">
        <f>"2018"</f>
        <v>2018</v>
      </c>
      <c r="F626" t="str">
        <f>"David A Williams,Tho"</f>
        <v>David A Williams,Tho</v>
      </c>
      <c r="G626" t="str">
        <f>"arzinbooks"</f>
        <v>arzinbooks</v>
      </c>
    </row>
    <row r="627" spans="1:7" x14ac:dyDescent="0.25">
      <c r="A627" t="str">
        <f>"Dynamics of Glassy. Crystalline and Liquid Ionic Conductors: Experiments. Theories. Simulations"</f>
        <v>Dynamics of Glassy. Crystalline and Liquid Ionic Conductors: Experiments. Theories. Simulations</v>
      </c>
      <c r="B627" t="str">
        <f>"9783319423890"</f>
        <v>9783319423890</v>
      </c>
      <c r="C627">
        <v>134.99</v>
      </c>
      <c r="D627" t="str">
        <f>"EUR"</f>
        <v>EUR</v>
      </c>
      <c r="E627" t="str">
        <f>"2017"</f>
        <v>2017</v>
      </c>
      <c r="F627" t="str">
        <f>"Habasaki"</f>
        <v>Habasaki</v>
      </c>
      <c r="G627" t="str">
        <f>"negarestanabi"</f>
        <v>negarestanabi</v>
      </c>
    </row>
    <row r="628" spans="1:7" x14ac:dyDescent="0.25">
      <c r="A628" t="str">
        <f>"ECOLOGICAL ASSESSMENT OF SELENIUM IN THE AQUATIC ENVIRO"</f>
        <v>ECOLOGICAL ASSESSMENT OF SELENIUM IN THE AQUATIC ENVIRO</v>
      </c>
      <c r="B628" t="str">
        <f>"9781439826775"</f>
        <v>9781439826775</v>
      </c>
      <c r="C628">
        <v>26.1</v>
      </c>
      <c r="D628" t="str">
        <f t="shared" ref="D628:D633" si="46">"GBP"</f>
        <v>GBP</v>
      </c>
      <c r="E628" t="str">
        <f>"2010"</f>
        <v>2010</v>
      </c>
      <c r="F628" t="str">
        <f>"CHAPMAN"</f>
        <v>CHAPMAN</v>
      </c>
      <c r="G628" t="str">
        <f>"AsarBartar"</f>
        <v>AsarBartar</v>
      </c>
    </row>
    <row r="629" spans="1:7" x14ac:dyDescent="0.25">
      <c r="A629" t="str">
        <f>"Ecotoxicology and Genotoxicology : Non-traditional Aquatic Models"</f>
        <v>Ecotoxicology and Genotoxicology : Non-traditional Aquatic Models</v>
      </c>
      <c r="B629" t="str">
        <f>"9781782627814"</f>
        <v>9781782627814</v>
      </c>
      <c r="C629">
        <v>169.2</v>
      </c>
      <c r="D629" t="str">
        <f t="shared" si="46"/>
        <v>GBP</v>
      </c>
      <c r="E629" t="str">
        <f>"2017"</f>
        <v>2017</v>
      </c>
      <c r="F629" t="str">
        <f>"Marcelo L Larramendy"</f>
        <v>Marcelo L Larramendy</v>
      </c>
      <c r="G629" t="str">
        <f>"arzinbooks"</f>
        <v>arzinbooks</v>
      </c>
    </row>
    <row r="630" spans="1:7" x14ac:dyDescent="0.25">
      <c r="A630" t="str">
        <f>"Ecotoxicology and Genotoxicology : Non-traditional Terrestrial Models"</f>
        <v>Ecotoxicology and Genotoxicology : Non-traditional Terrestrial Models</v>
      </c>
      <c r="B630" t="str">
        <f>"9781782628118"</f>
        <v>9781782628118</v>
      </c>
      <c r="C630">
        <v>169.2</v>
      </c>
      <c r="D630" t="str">
        <f t="shared" si="46"/>
        <v>GBP</v>
      </c>
      <c r="E630" t="str">
        <f>"2017"</f>
        <v>2017</v>
      </c>
      <c r="F630" t="str">
        <f>"Marcelo L Larramendy"</f>
        <v>Marcelo L Larramendy</v>
      </c>
      <c r="G630" t="str">
        <f>"arzinbooks"</f>
        <v>arzinbooks</v>
      </c>
    </row>
    <row r="631" spans="1:7" x14ac:dyDescent="0.25">
      <c r="A631" t="str">
        <f>"Edible Oil Structuring : Concepts, Methods and Applications"</f>
        <v>Edible Oil Structuring : Concepts, Methods and Applications</v>
      </c>
      <c r="B631" t="str">
        <f>"9781782628293"</f>
        <v>9781782628293</v>
      </c>
      <c r="C631">
        <v>126.7</v>
      </c>
      <c r="D631" t="str">
        <f t="shared" si="46"/>
        <v>GBP</v>
      </c>
      <c r="E631" t="str">
        <f>"2018"</f>
        <v>2018</v>
      </c>
      <c r="F631" t="str">
        <f>"Ashok R Patel"</f>
        <v>Ashok R Patel</v>
      </c>
      <c r="G631" t="str">
        <f>"arzinbooks"</f>
        <v>arzinbooks</v>
      </c>
    </row>
    <row r="632" spans="1:7" x14ac:dyDescent="0.25">
      <c r="A632" t="str">
        <f>"ELECTROANALYTICAL CHEM SERIESADVV24"</f>
        <v>ELECTROANALYTICAL CHEM SERIESADVV24</v>
      </c>
      <c r="B632" t="str">
        <f>"9781439837504"</f>
        <v>9781439837504</v>
      </c>
      <c r="C632">
        <v>83.4</v>
      </c>
      <c r="D632" t="str">
        <f t="shared" si="46"/>
        <v>GBP</v>
      </c>
      <c r="E632" t="str">
        <f>"2012"</f>
        <v>2012</v>
      </c>
      <c r="F632" t="str">
        <f>"CYNTHIA ZOSKI(EDITO"</f>
        <v>CYNTHIA ZOSKI(EDITO</v>
      </c>
      <c r="G632" t="str">
        <f>"AsarBartar"</f>
        <v>AsarBartar</v>
      </c>
    </row>
    <row r="633" spans="1:7" x14ac:dyDescent="0.25">
      <c r="A633" t="str">
        <f>"ELECTROANALYTICAL CHEMISTRY: A SERIES OF ADVANCES: VOLU"</f>
        <v>ELECTROANALYTICAL CHEMISTRY: A SERIES OF ADVANCES: VOLU</v>
      </c>
      <c r="B633" t="str">
        <f>"9781420084856"</f>
        <v>9781420084856</v>
      </c>
      <c r="C633">
        <v>34.5</v>
      </c>
      <c r="D633" t="str">
        <f t="shared" si="46"/>
        <v>GBP</v>
      </c>
      <c r="E633" t="str">
        <f>"2010"</f>
        <v>2010</v>
      </c>
      <c r="F633" t="str">
        <f>"CYNTHIA G. ZOSKI(ED"</f>
        <v>CYNTHIA G. ZOSKI(ED</v>
      </c>
      <c r="G633" t="str">
        <f>"AsarBartar"</f>
        <v>AsarBartar</v>
      </c>
    </row>
    <row r="634" spans="1:7" x14ac:dyDescent="0.25">
      <c r="A634" t="str">
        <f>"Electrocatalysis of Direct Methanol Fuel Cells:From Fundamentals to Applications"</f>
        <v>Electrocatalysis of Direct Methanol Fuel Cells:From Fundamentals to Applications</v>
      </c>
      <c r="B634" t="str">
        <f>"9783527323777"</f>
        <v>9783527323777</v>
      </c>
      <c r="C634">
        <v>151.18</v>
      </c>
      <c r="D634" t="str">
        <f>"USD"</f>
        <v>USD</v>
      </c>
      <c r="E634" t="str">
        <f>"2009"</f>
        <v>2009</v>
      </c>
      <c r="F634" t="str">
        <f>"Zhang"</f>
        <v>Zhang</v>
      </c>
      <c r="G634" t="str">
        <f>"safirketab"</f>
        <v>safirketab</v>
      </c>
    </row>
    <row r="635" spans="1:7" x14ac:dyDescent="0.25">
      <c r="A635" t="str">
        <f>"Electrocatalysis: Theoretical Foundations and Model Experiments"</f>
        <v>Electrocatalysis: Theoretical Foundations and Model Experiments</v>
      </c>
      <c r="B635" t="str">
        <f>"9783527332274"</f>
        <v>9783527332274</v>
      </c>
      <c r="C635">
        <v>137.80000000000001</v>
      </c>
      <c r="D635" t="str">
        <f>"USD"</f>
        <v>USD</v>
      </c>
      <c r="E635" t="str">
        <f>"2013"</f>
        <v>2013</v>
      </c>
      <c r="F635" t="str">
        <f>"Alkire"</f>
        <v>Alkire</v>
      </c>
      <c r="G635" t="str">
        <f>"avanddanesh"</f>
        <v>avanddanesh</v>
      </c>
    </row>
    <row r="636" spans="1:7" x14ac:dyDescent="0.25">
      <c r="A636" t="str">
        <f>"Electrochemical Impedance Spectroscopy,2e"</f>
        <v>Electrochemical Impedance Spectroscopy,2e</v>
      </c>
      <c r="B636" t="str">
        <f>"9781118527399"</f>
        <v>9781118527399</v>
      </c>
      <c r="C636">
        <v>121.5</v>
      </c>
      <c r="D636" t="str">
        <f>"USD"</f>
        <v>USD</v>
      </c>
      <c r="E636" t="str">
        <f>"2017"</f>
        <v>2017</v>
      </c>
      <c r="F636" t="str">
        <f>"Orazem"</f>
        <v>Orazem</v>
      </c>
      <c r="G636" t="str">
        <f>"avanddanesh"</f>
        <v>avanddanesh</v>
      </c>
    </row>
    <row r="637" spans="1:7" x14ac:dyDescent="0.25">
      <c r="A637" t="str">
        <f>"Electrochemical Processes in Biological Systems"</f>
        <v>Electrochemical Processes in Biological Systems</v>
      </c>
      <c r="B637" t="str">
        <f>"9780470578452"</f>
        <v>9780470578452</v>
      </c>
      <c r="C637">
        <v>100</v>
      </c>
      <c r="D637" t="str">
        <f>"USD"</f>
        <v>USD</v>
      </c>
      <c r="E637" t="str">
        <f>"2015"</f>
        <v>2015</v>
      </c>
      <c r="F637" t="str">
        <f>"Lewenstam"</f>
        <v>Lewenstam</v>
      </c>
      <c r="G637" t="str">
        <f>"avanddanesh"</f>
        <v>avanddanesh</v>
      </c>
    </row>
    <row r="638" spans="1:7" x14ac:dyDescent="0.25">
      <c r="A638" t="str">
        <f>"Electrochemical Science for a Sustainable Society: A Tribute to John Oâ€™M Bockris"</f>
        <v>Electrochemical Science for a Sustainable Society: A Tribute to John Oâ€™M Bockris</v>
      </c>
      <c r="B638" t="str">
        <f>"9783319573083"</f>
        <v>9783319573083</v>
      </c>
      <c r="C638">
        <v>107.99</v>
      </c>
      <c r="D638" t="str">
        <f>"EUR"</f>
        <v>EUR</v>
      </c>
      <c r="E638" t="str">
        <f>"2017"</f>
        <v>2017</v>
      </c>
      <c r="F638" t="str">
        <f>"Uosaki"</f>
        <v>Uosaki</v>
      </c>
      <c r="G638" t="str">
        <f>"negarestanabi"</f>
        <v>negarestanabi</v>
      </c>
    </row>
    <row r="639" spans="1:7" x14ac:dyDescent="0.25">
      <c r="A639" t="str">
        <f>"Electrochemical Strategies in Detection Science"</f>
        <v>Electrochemical Strategies in Detection Science</v>
      </c>
      <c r="B639" t="str">
        <f>"9781849738316"</f>
        <v>9781849738316</v>
      </c>
      <c r="C639">
        <v>116.4</v>
      </c>
      <c r="D639" t="str">
        <f>"GBP"</f>
        <v>GBP</v>
      </c>
      <c r="E639" t="str">
        <f>"2016"</f>
        <v>2016</v>
      </c>
      <c r="F639" t="str">
        <f>"Arrigan"</f>
        <v>Arrigan</v>
      </c>
      <c r="G639" t="str">
        <f>"arzinbooks"</f>
        <v>arzinbooks</v>
      </c>
    </row>
    <row r="640" spans="1:7" x14ac:dyDescent="0.25">
      <c r="A640" t="str">
        <f>"Electrochemistry and Corrosion Science. 2/ed"</f>
        <v>Electrochemistry and Corrosion Science. 2/ed</v>
      </c>
      <c r="B640" t="str">
        <f>"9783319248455"</f>
        <v>9783319248455</v>
      </c>
      <c r="C640">
        <v>67.489999999999995</v>
      </c>
      <c r="D640" t="str">
        <f>"EUR"</f>
        <v>EUR</v>
      </c>
      <c r="E640" t="str">
        <f>"2016"</f>
        <v>2016</v>
      </c>
      <c r="F640" t="str">
        <f>"Perez"</f>
        <v>Perez</v>
      </c>
      <c r="G640" t="str">
        <f>"negarestanabi"</f>
        <v>negarestanabi</v>
      </c>
    </row>
    <row r="641" spans="1:7" x14ac:dyDescent="0.25">
      <c r="A641" t="str">
        <f>"Electrochemistry in a Divided World: Innovations in Eastern Europe in the 20th Century"</f>
        <v>Electrochemistry in a Divided World: Innovations in Eastern Europe in the 20th Century</v>
      </c>
      <c r="B641" t="str">
        <f>"9783319212203"</f>
        <v>9783319212203</v>
      </c>
      <c r="C641">
        <v>116.99</v>
      </c>
      <c r="D641" t="str">
        <f>"EUR"</f>
        <v>EUR</v>
      </c>
      <c r="E641" t="str">
        <f>"2015"</f>
        <v>2015</v>
      </c>
      <c r="F641" t="str">
        <f>"Scholz"</f>
        <v>Scholz</v>
      </c>
      <c r="G641" t="str">
        <f>"negarestanabi"</f>
        <v>negarestanabi</v>
      </c>
    </row>
    <row r="642" spans="1:7" x14ac:dyDescent="0.25">
      <c r="A642" t="str">
        <f>"Electrochemistry of Dihydroxybenzene Compounds, Carbon Based Electrodes and Their Uses in Synthesis and Sensors"</f>
        <v>Electrochemistry of Dihydroxybenzene Compounds, Carbon Based Electrodes and Their Uses in Synthesis and Sensors</v>
      </c>
      <c r="B642" t="str">
        <f>"9780128132135"</f>
        <v>9780128132135</v>
      </c>
      <c r="C642">
        <v>54</v>
      </c>
      <c r="D642" t="str">
        <f>"USD"</f>
        <v>USD</v>
      </c>
      <c r="E642" t="str">
        <f>"2017"</f>
        <v>2017</v>
      </c>
      <c r="F642" t="str">
        <f>"Ghadimi et al"</f>
        <v>Ghadimi et al</v>
      </c>
      <c r="G642" t="str">
        <f>"dehkadehketab"</f>
        <v>dehkadehketab</v>
      </c>
    </row>
    <row r="643" spans="1:7" x14ac:dyDescent="0.25">
      <c r="A643" t="str">
        <f>"Electrochemistry of Functional Supramolecular Systems"</f>
        <v>Electrochemistry of Functional Supramolecular Systems</v>
      </c>
      <c r="B643" t="str">
        <f>"9780470255575"</f>
        <v>9780470255575</v>
      </c>
      <c r="C643">
        <v>76.400000000000006</v>
      </c>
      <c r="D643" t="str">
        <f>"USD"</f>
        <v>USD</v>
      </c>
      <c r="E643" t="str">
        <f>"2010"</f>
        <v>2010</v>
      </c>
      <c r="F643" t="str">
        <f>"Ceroni"</f>
        <v>Ceroni</v>
      </c>
      <c r="G643" t="str">
        <f>"avanddanesh"</f>
        <v>avanddanesh</v>
      </c>
    </row>
    <row r="644" spans="1:7" x14ac:dyDescent="0.25">
      <c r="A644" t="str">
        <f>"Electrochemistry of Functional Supramolecular Systems"</f>
        <v>Electrochemistry of Functional Supramolecular Systems</v>
      </c>
      <c r="B644" t="str">
        <f>"9780470255575"</f>
        <v>9780470255575</v>
      </c>
      <c r="C644">
        <v>76.400000000000006</v>
      </c>
      <c r="D644" t="str">
        <f>"USD"</f>
        <v>USD</v>
      </c>
      <c r="E644" t="str">
        <f>"2010"</f>
        <v>2010</v>
      </c>
      <c r="F644" t="str">
        <f>"Ceroni"</f>
        <v>Ceroni</v>
      </c>
      <c r="G644" t="str">
        <f>"safirketab"</f>
        <v>safirketab</v>
      </c>
    </row>
    <row r="645" spans="1:7" x14ac:dyDescent="0.25">
      <c r="A645" t="str">
        <f>"Electrochemistry of Immobilized Particles and Droplets: Experiments with Three-Phase Electrodes. 2/ed"</f>
        <v>Electrochemistry of Immobilized Particles and Droplets: Experiments with Three-Phase Electrodes. 2/ed</v>
      </c>
      <c r="B645" t="str">
        <f>"9783319108421"</f>
        <v>9783319108421</v>
      </c>
      <c r="C645">
        <v>116.99</v>
      </c>
      <c r="D645" t="str">
        <f>"EUR"</f>
        <v>EUR</v>
      </c>
      <c r="E645" t="str">
        <f>"2015"</f>
        <v>2015</v>
      </c>
      <c r="F645" t="str">
        <f>"Scholz"</f>
        <v>Scholz</v>
      </c>
      <c r="G645" t="str">
        <f>"negarestanabi"</f>
        <v>negarestanabi</v>
      </c>
    </row>
    <row r="646" spans="1:7" x14ac:dyDescent="0.25">
      <c r="A646" t="str">
        <f>"Electrochemistry of N4 Macrocyclic Metal Complexes: Volume 1: Energy. 2/ed"</f>
        <v>Electrochemistry of N4 Macrocyclic Metal Complexes: Volume 1: Energy. 2/ed</v>
      </c>
      <c r="B646" t="str">
        <f>"9783319311708"</f>
        <v>9783319311708</v>
      </c>
      <c r="C646">
        <v>134.99</v>
      </c>
      <c r="D646" t="str">
        <f>"EUR"</f>
        <v>EUR</v>
      </c>
      <c r="E646" t="str">
        <f>"2016"</f>
        <v>2016</v>
      </c>
      <c r="F646" t="str">
        <f>"Zagal"</f>
        <v>Zagal</v>
      </c>
      <c r="G646" t="str">
        <f>"negarestanabi"</f>
        <v>negarestanabi</v>
      </c>
    </row>
    <row r="647" spans="1:7" x14ac:dyDescent="0.25">
      <c r="A647" t="str">
        <f>"Electrochromic Materials and Devices"</f>
        <v>Electrochromic Materials and Devices</v>
      </c>
      <c r="B647" t="str">
        <f>"9783527336104"</f>
        <v>9783527336104</v>
      </c>
      <c r="C647">
        <v>216</v>
      </c>
      <c r="D647" t="str">
        <f>"USD"</f>
        <v>USD</v>
      </c>
      <c r="E647" t="str">
        <f>"2015"</f>
        <v>2015</v>
      </c>
      <c r="F647" t="str">
        <f>"Mortimer"</f>
        <v>Mortimer</v>
      </c>
      <c r="G647" t="str">
        <f>"avanddanesh"</f>
        <v>avanddanesh</v>
      </c>
    </row>
    <row r="648" spans="1:7" x14ac:dyDescent="0.25">
      <c r="A648" t="str">
        <f>"Electrodeposition from Ionic Liquids,2e"</f>
        <v>Electrodeposition from Ionic Liquids,2e</v>
      </c>
      <c r="B648" t="str">
        <f>"9783527336029"</f>
        <v>9783527336029</v>
      </c>
      <c r="C648">
        <v>193.5</v>
      </c>
      <c r="D648" t="str">
        <f>"USD"</f>
        <v>USD</v>
      </c>
      <c r="E648" t="str">
        <f>"2017"</f>
        <v>2017</v>
      </c>
      <c r="F648" t="str">
        <f>"Endres"</f>
        <v>Endres</v>
      </c>
      <c r="G648" t="str">
        <f>"avanddanesh"</f>
        <v>avanddanesh</v>
      </c>
    </row>
    <row r="649" spans="1:7" x14ac:dyDescent="0.25">
      <c r="A649" t="str">
        <f>"Electro-Fenton Process: New Trends and Scale-Up"</f>
        <v>Electro-Fenton Process: New Trends and Scale-Up</v>
      </c>
      <c r="B649" t="str">
        <f>"9789811064050"</f>
        <v>9789811064050</v>
      </c>
      <c r="C649">
        <v>269.99</v>
      </c>
      <c r="D649" t="str">
        <f>"EUR"</f>
        <v>EUR</v>
      </c>
      <c r="E649" t="str">
        <f>"2018"</f>
        <v>2018</v>
      </c>
      <c r="F649" t="str">
        <f>"Zhou"</f>
        <v>Zhou</v>
      </c>
      <c r="G649" t="str">
        <f>"negarestanabi"</f>
        <v>negarestanabi</v>
      </c>
    </row>
    <row r="650" spans="1:7" x14ac:dyDescent="0.25">
      <c r="A650" t="str">
        <f>"Electrokinetic Chromatography: Theory,Instrumentation &amp; Applications"</f>
        <v>Electrokinetic Chromatography: Theory,Instrumentation &amp; Applications</v>
      </c>
      <c r="B650" t="str">
        <f>"9780470871027"</f>
        <v>9780470871027</v>
      </c>
      <c r="C650">
        <v>174</v>
      </c>
      <c r="D650" t="str">
        <f>"USD"</f>
        <v>USD</v>
      </c>
      <c r="E650" t="str">
        <f>"2006"</f>
        <v>2006</v>
      </c>
      <c r="F650" t="str">
        <f>"Pyell-Chemistry"</f>
        <v>Pyell-Chemistry</v>
      </c>
      <c r="G650" t="str">
        <f>"safirketab"</f>
        <v>safirketab</v>
      </c>
    </row>
    <row r="651" spans="1:7" x14ac:dyDescent="0.25">
      <c r="A651" t="str">
        <f>"Electron Flow in Organic Chemistry: A Decision-Based Guide to Organic Mechanisms,2e"</f>
        <v>Electron Flow in Organic Chemistry: A Decision-Based Guide to Organic Mechanisms,2e</v>
      </c>
      <c r="B651" t="str">
        <f>"9780470638040"</f>
        <v>9780470638040</v>
      </c>
      <c r="C651">
        <v>35.1</v>
      </c>
      <c r="D651" t="str">
        <f>"USD"</f>
        <v>USD</v>
      </c>
      <c r="E651" t="str">
        <f>"2013"</f>
        <v>2013</v>
      </c>
      <c r="F651" t="str">
        <f>"Scudder"</f>
        <v>Scudder</v>
      </c>
      <c r="G651" t="str">
        <f>"avanddanesh"</f>
        <v>avanddanesh</v>
      </c>
    </row>
    <row r="652" spans="1:7" x14ac:dyDescent="0.25">
      <c r="A652" t="str">
        <f>"Electron Microscopy, HB"</f>
        <v>Electron Microscopy, HB</v>
      </c>
      <c r="B652" t="str">
        <f>"9789380179797"</f>
        <v>9789380179797</v>
      </c>
      <c r="C652">
        <v>16.8</v>
      </c>
      <c r="D652" t="str">
        <f>"USD"</f>
        <v>USD</v>
      </c>
      <c r="E652" t="str">
        <f>"2010"</f>
        <v>2010</v>
      </c>
      <c r="F652" t="str">
        <f>"Prakash"</f>
        <v>Prakash</v>
      </c>
      <c r="G652" t="str">
        <f>"supply"</f>
        <v>supply</v>
      </c>
    </row>
    <row r="653" spans="1:7" x14ac:dyDescent="0.25">
      <c r="A653" t="str">
        <f>"ELECTRON THEORY, HB"</f>
        <v>ELECTRON THEORY, HB</v>
      </c>
      <c r="B653" t="str">
        <f>"9789380179704"</f>
        <v>9789380179704</v>
      </c>
      <c r="C653">
        <v>19.600000000000001</v>
      </c>
      <c r="D653" t="str">
        <f>"USD"</f>
        <v>USD</v>
      </c>
      <c r="E653" t="str">
        <f>"2010"</f>
        <v>2010</v>
      </c>
      <c r="F653" t="str">
        <f>"Trivedi"</f>
        <v>Trivedi</v>
      </c>
      <c r="G653" t="str">
        <f>"supply"</f>
        <v>supply</v>
      </c>
    </row>
    <row r="654" spans="1:7" x14ac:dyDescent="0.25">
      <c r="A654" t="str">
        <f>"ELECTRONIC AND NUCLEAR DYNAMICS IN MOLECULAR SYSTEMS"</f>
        <v>ELECTRONIC AND NUCLEAR DYNAMICS IN MOLECULAR SYSTEMS</v>
      </c>
      <c r="B654" t="str">
        <f>"9789812837226"</f>
        <v>9789812837226</v>
      </c>
      <c r="C654">
        <v>15</v>
      </c>
      <c r="D654" t="str">
        <f>"GBP"</f>
        <v>GBP</v>
      </c>
      <c r="E654" t="str">
        <f>"2011"</f>
        <v>2011</v>
      </c>
      <c r="F654" t="str">
        <f>"FUJIMURA YUICHI ET"</f>
        <v>FUJIMURA YUICHI ET</v>
      </c>
      <c r="G654" t="str">
        <f>"AsarBartar"</f>
        <v>AsarBartar</v>
      </c>
    </row>
    <row r="655" spans="1:7" x14ac:dyDescent="0.25">
      <c r="A655" t="str">
        <f>"Electronic Structure Calculations on Graphics Processing Units: From Quantum Chemistry to Condensed Matter Physics"</f>
        <v>Electronic Structure Calculations on Graphics Processing Units: From Quantum Chemistry to Condensed Matter Physics</v>
      </c>
      <c r="B655" t="str">
        <f>"9781118661789"</f>
        <v>9781118661789</v>
      </c>
      <c r="C655">
        <v>119</v>
      </c>
      <c r="D655" t="str">
        <f t="shared" ref="D655:D671" si="47">"USD"</f>
        <v>USD</v>
      </c>
      <c r="E655" t="str">
        <f>"2016"</f>
        <v>2016</v>
      </c>
      <c r="F655" t="str">
        <f>"Walker"</f>
        <v>Walker</v>
      </c>
      <c r="G655" t="str">
        <f>"avanddanesh"</f>
        <v>avanddanesh</v>
      </c>
    </row>
    <row r="656" spans="1:7" x14ac:dyDescent="0.25">
      <c r="A656" t="str">
        <f>"Electrophoresis in Practice: A Guide to Methods and Applications of DNA and Protein Separations,5e"</f>
        <v>Electrophoresis in Practice: A Guide to Methods and Applications of DNA and Protein Separations,5e</v>
      </c>
      <c r="B656" t="str">
        <f>"9783527338801"</f>
        <v>9783527338801</v>
      </c>
      <c r="C656">
        <v>114.8</v>
      </c>
      <c r="D656" t="str">
        <f t="shared" si="47"/>
        <v>USD</v>
      </c>
      <c r="E656" t="str">
        <f>"2016"</f>
        <v>2016</v>
      </c>
      <c r="F656" t="str">
        <f>"Westermeier"</f>
        <v>Westermeier</v>
      </c>
      <c r="G656" t="str">
        <f>"avanddanesh"</f>
        <v>avanddanesh</v>
      </c>
    </row>
    <row r="657" spans="1:7" x14ac:dyDescent="0.25">
      <c r="A657" t="str">
        <f>"ELEMENTARY SURFACE CHEMISTRY, HB"</f>
        <v>ELEMENTARY SURFACE CHEMISTRY, HB</v>
      </c>
      <c r="B657" t="str">
        <f>"9788178847115"</f>
        <v>9788178847115</v>
      </c>
      <c r="C657">
        <v>17.5</v>
      </c>
      <c r="D657" t="str">
        <f t="shared" si="47"/>
        <v>USD</v>
      </c>
      <c r="E657" t="str">
        <f>"2011"</f>
        <v>2011</v>
      </c>
      <c r="F657" t="str">
        <f>"Negi"</f>
        <v>Negi</v>
      </c>
      <c r="G657" t="str">
        <f>"supply"</f>
        <v>supply</v>
      </c>
    </row>
    <row r="658" spans="1:7" x14ac:dyDescent="0.25">
      <c r="A658" t="str">
        <f>"Emulsion Science and Technology"</f>
        <v>Emulsion Science and Technology</v>
      </c>
      <c r="B658" t="str">
        <f>"9783527325252"</f>
        <v>9783527325252</v>
      </c>
      <c r="C658">
        <v>126.75</v>
      </c>
      <c r="D658" t="str">
        <f t="shared" si="47"/>
        <v>USD</v>
      </c>
      <c r="E658" t="str">
        <f>"2009"</f>
        <v>2009</v>
      </c>
      <c r="F658" t="str">
        <f>"Tadros"</f>
        <v>Tadros</v>
      </c>
      <c r="G658" t="str">
        <f>"safirketab"</f>
        <v>safirketab</v>
      </c>
    </row>
    <row r="659" spans="1:7" x14ac:dyDescent="0.25">
      <c r="A659" t="str">
        <f>"Emulsions, Foams, Suspensions, and Aerosols: Microscience and Applications,2e"</f>
        <v>Emulsions, Foams, Suspensions, and Aerosols: Microscience and Applications,2e</v>
      </c>
      <c r="B659" t="str">
        <f>"9783527337064"</f>
        <v>9783527337064</v>
      </c>
      <c r="C659">
        <v>166.5</v>
      </c>
      <c r="D659" t="str">
        <f t="shared" si="47"/>
        <v>USD</v>
      </c>
      <c r="E659" t="str">
        <f>"2014"</f>
        <v>2014</v>
      </c>
      <c r="F659" t="str">
        <f>"Schramm"</f>
        <v>Schramm</v>
      </c>
      <c r="G659" t="str">
        <f>"avanddanesh"</f>
        <v>avanddanesh</v>
      </c>
    </row>
    <row r="660" spans="1:7" x14ac:dyDescent="0.25">
      <c r="A660" t="str">
        <f>"Enantioselective Organocatalysis: Reactions and Experimental Procedures"</f>
        <v>Enantioselective Organocatalysis: Reactions and Experimental Procedures</v>
      </c>
      <c r="B660" t="str">
        <f>"9783527315222"</f>
        <v>9783527315222</v>
      </c>
      <c r="C660">
        <v>112.8</v>
      </c>
      <c r="D660" t="str">
        <f t="shared" si="47"/>
        <v>USD</v>
      </c>
      <c r="E660" t="str">
        <f>"2007"</f>
        <v>2007</v>
      </c>
      <c r="F660" t="str">
        <f>"Dalko"</f>
        <v>Dalko</v>
      </c>
      <c r="G660" t="str">
        <f>"avanddanesh"</f>
        <v>avanddanesh</v>
      </c>
    </row>
    <row r="661" spans="1:7" x14ac:dyDescent="0.25">
      <c r="A661" t="str">
        <f>"Encapsulated Catalysts"</f>
        <v>Encapsulated Catalysts</v>
      </c>
      <c r="B661" t="str">
        <f>"9780128038352"</f>
        <v>9780128038352</v>
      </c>
      <c r="C661">
        <v>135</v>
      </c>
      <c r="D661" t="str">
        <f t="shared" si="47"/>
        <v>USD</v>
      </c>
      <c r="E661" t="str">
        <f>"2017"</f>
        <v>2017</v>
      </c>
      <c r="F661" t="str">
        <f>"Sadjadi"</f>
        <v>Sadjadi</v>
      </c>
      <c r="G661" t="str">
        <f>"dehkadehketab"</f>
        <v>dehkadehketab</v>
      </c>
    </row>
    <row r="662" spans="1:7" x14ac:dyDescent="0.25">
      <c r="A662" t="str">
        <f>"Ency. of Reagents for Organic Synthesis 14V Set"</f>
        <v>Ency. of Reagents for Organic Synthesis 14V Set</v>
      </c>
      <c r="B662" t="str">
        <f>"9780470017548"</f>
        <v>9780470017548</v>
      </c>
      <c r="C662">
        <v>6693.75</v>
      </c>
      <c r="D662" t="str">
        <f t="shared" si="47"/>
        <v>USD</v>
      </c>
      <c r="E662" t="str">
        <f>"2009"</f>
        <v>2009</v>
      </c>
      <c r="F662" t="str">
        <f>"Paquette"</f>
        <v>Paquette</v>
      </c>
      <c r="G662" t="str">
        <f>"safirketab"</f>
        <v>safirketab</v>
      </c>
    </row>
    <row r="663" spans="1:7" x14ac:dyDescent="0.25">
      <c r="A663" t="str">
        <f>"Encyclopaedia Of Applied Chemistry, Set Of 5 Vols, HB"</f>
        <v>Encyclopaedia Of Applied Chemistry, Set Of 5 Vols, HB</v>
      </c>
      <c r="B663" t="str">
        <f>"9789380472966"</f>
        <v>9789380472966</v>
      </c>
      <c r="C663">
        <v>97.23</v>
      </c>
      <c r="D663" t="str">
        <f t="shared" si="47"/>
        <v>USD</v>
      </c>
      <c r="E663" t="str">
        <f>"2011"</f>
        <v>2011</v>
      </c>
      <c r="F663" t="str">
        <f>"Reddy"</f>
        <v>Reddy</v>
      </c>
      <c r="G663" t="str">
        <f t="shared" ref="G663:G668" si="48">"supply"</f>
        <v>supply</v>
      </c>
    </row>
    <row r="664" spans="1:7" x14ac:dyDescent="0.25">
      <c r="A664" t="str">
        <f>"Encyclopaedia Of Biochemistry, Set Of 3 Vols, HB"</f>
        <v>Encyclopaedia Of Biochemistry, Set Of 3 Vols, HB</v>
      </c>
      <c r="B664" t="str">
        <f>"9789381138694"</f>
        <v>9789381138694</v>
      </c>
      <c r="C664">
        <v>52.5</v>
      </c>
      <c r="D664" t="str">
        <f t="shared" si="47"/>
        <v>USD</v>
      </c>
      <c r="E664" t="str">
        <f>"2012"</f>
        <v>2012</v>
      </c>
      <c r="F664" t="str">
        <f>"Aggarwal"</f>
        <v>Aggarwal</v>
      </c>
      <c r="G664" t="str">
        <f t="shared" si="48"/>
        <v>supply</v>
      </c>
    </row>
    <row r="665" spans="1:7" x14ac:dyDescent="0.25">
      <c r="A665" t="str">
        <f>"Encyclopaedia Of Dyes And Drugs, Set Of 5 Vols, HB"</f>
        <v>Encyclopaedia Of Dyes And Drugs, Set Of 5 Vols, HB</v>
      </c>
      <c r="B665" t="str">
        <f>"9788126141234"</f>
        <v>9788126141234</v>
      </c>
      <c r="C665">
        <v>157.5</v>
      </c>
      <c r="D665" t="str">
        <f t="shared" si="47"/>
        <v>USD</v>
      </c>
      <c r="E665" t="str">
        <f>"2009"</f>
        <v>2009</v>
      </c>
      <c r="F665" t="str">
        <f>"Jain, A.C."</f>
        <v>Jain, A.C.</v>
      </c>
      <c r="G665" t="str">
        <f t="shared" si="48"/>
        <v>supply</v>
      </c>
    </row>
    <row r="666" spans="1:7" x14ac:dyDescent="0.25">
      <c r="A666" t="str">
        <f>"ENCYCLOPAEDIA OF INDUSTRIAL CHEMISTRY, Set of 3 vols, HB"</f>
        <v>ENCYCLOPAEDIA OF INDUSTRIAL CHEMISTRY, Set of 3 vols, HB</v>
      </c>
      <c r="B666" t="str">
        <f>"9788126135318"</f>
        <v>9788126135318</v>
      </c>
      <c r="C666">
        <v>76.58</v>
      </c>
      <c r="D666" t="str">
        <f t="shared" si="47"/>
        <v>USD</v>
      </c>
      <c r="E666" t="str">
        <f>"2008"</f>
        <v>2008</v>
      </c>
      <c r="F666" t="str">
        <f>"Ahmad"</f>
        <v>Ahmad</v>
      </c>
      <c r="G666" t="str">
        <f t="shared" si="48"/>
        <v>supply</v>
      </c>
    </row>
    <row r="667" spans="1:7" x14ac:dyDescent="0.25">
      <c r="A667" t="str">
        <f>"Encyclopaedia Of Organic Chemistry, Set Of 5 Vols, HB"</f>
        <v>Encyclopaedia Of Organic Chemistry, Set Of 5 Vols, HB</v>
      </c>
      <c r="B667" t="str">
        <f>"9789380472980"</f>
        <v>9789380472980</v>
      </c>
      <c r="C667">
        <v>83.3</v>
      </c>
      <c r="D667" t="str">
        <f t="shared" si="47"/>
        <v>USD</v>
      </c>
      <c r="E667" t="str">
        <f>"2012"</f>
        <v>2012</v>
      </c>
      <c r="F667" t="str">
        <f>"Sharma"</f>
        <v>Sharma</v>
      </c>
      <c r="G667" t="str">
        <f t="shared" si="48"/>
        <v>supply</v>
      </c>
    </row>
    <row r="668" spans="1:7" x14ac:dyDescent="0.25">
      <c r="A668" t="str">
        <f>"ENCYCLOPAEDIC DICTIONARY OF CHEMISTRY, Set of 3 vols, HB"</f>
        <v>ENCYCLOPAEDIC DICTIONARY OF CHEMISTRY, Set of 3 vols, HB</v>
      </c>
      <c r="B668" t="str">
        <f>"9788180301636"</f>
        <v>9788180301636</v>
      </c>
      <c r="C668">
        <v>33.6</v>
      </c>
      <c r="D668" t="str">
        <f t="shared" si="47"/>
        <v>USD</v>
      </c>
      <c r="E668" t="str">
        <f>"2008"</f>
        <v>2008</v>
      </c>
      <c r="F668" t="str">
        <f>"Selvaraj"</f>
        <v>Selvaraj</v>
      </c>
      <c r="G668" t="str">
        <f t="shared" si="48"/>
        <v>supply</v>
      </c>
    </row>
    <row r="669" spans="1:7" x14ac:dyDescent="0.25">
      <c r="A669" t="str">
        <f>"Encyclopedia of Applied Spectroscopy"</f>
        <v>Encyclopedia of Applied Spectroscopy</v>
      </c>
      <c r="B669" t="str">
        <f>"9783527407736"</f>
        <v>9783527407736</v>
      </c>
      <c r="C669">
        <v>288</v>
      </c>
      <c r="D669" t="str">
        <f t="shared" si="47"/>
        <v>USD</v>
      </c>
      <c r="E669" t="str">
        <f>"2009"</f>
        <v>2009</v>
      </c>
      <c r="F669" t="str">
        <f>"Andrews"</f>
        <v>Andrews</v>
      </c>
      <c r="G669" t="str">
        <f>"avanddanesh"</f>
        <v>avanddanesh</v>
      </c>
    </row>
    <row r="670" spans="1:7" x14ac:dyDescent="0.25">
      <c r="A670" t="str">
        <f>"Encyclopedia of Biocolloid and Biointerface Science, 2V Set"</f>
        <v>Encyclopedia of Biocolloid and Biointerface Science, 2V Set</v>
      </c>
      <c r="B670" t="str">
        <f>"9781118542767"</f>
        <v>9781118542767</v>
      </c>
      <c r="C670">
        <v>467.5</v>
      </c>
      <c r="D670" t="str">
        <f t="shared" si="47"/>
        <v>USD</v>
      </c>
      <c r="E670" t="str">
        <f>"2016"</f>
        <v>2016</v>
      </c>
      <c r="F670" t="str">
        <f>"Ohshima"</f>
        <v>Ohshima</v>
      </c>
      <c r="G670" t="str">
        <f>"avanddanesh"</f>
        <v>avanddanesh</v>
      </c>
    </row>
    <row r="671" spans="1:7" x14ac:dyDescent="0.25">
      <c r="A671" t="str">
        <f>"Encyclopedia of Chemical Biology, 4V Set"</f>
        <v>Encyclopedia of Chemical Biology, 4V Set</v>
      </c>
      <c r="B671" t="str">
        <f>"9780471754770"</f>
        <v>9780471754770</v>
      </c>
      <c r="C671">
        <v>736</v>
      </c>
      <c r="D671" t="str">
        <f t="shared" si="47"/>
        <v>USD</v>
      </c>
      <c r="E671" t="str">
        <f>"2009"</f>
        <v>2009</v>
      </c>
      <c r="F671" t="str">
        <f>"Begley"</f>
        <v>Begley</v>
      </c>
      <c r="G671" t="str">
        <f>"avanddanesh"</f>
        <v>avanddanesh</v>
      </c>
    </row>
    <row r="672" spans="1:7" x14ac:dyDescent="0.25">
      <c r="A672" t="str">
        <f>"ENCYCLOPEDIA OF CHROMATOGRAPHY, THIRD EDITION (PRINT VERSION)"</f>
        <v>ENCYCLOPEDIA OF CHROMATOGRAPHY, THIRD EDITION (PRINT VERSION)</v>
      </c>
      <c r="B672" t="str">
        <f>"9781420084597"</f>
        <v>9781420084597</v>
      </c>
      <c r="C672">
        <v>137.4</v>
      </c>
      <c r="D672" t="str">
        <f>"GBP"</f>
        <v>GBP</v>
      </c>
      <c r="E672" t="str">
        <f>"2010"</f>
        <v>2010</v>
      </c>
      <c r="F672" t="str">
        <f>"JACK CAZES"</f>
        <v>JACK CAZES</v>
      </c>
      <c r="G672" t="str">
        <f>"AsarBartar"</f>
        <v>AsarBartar</v>
      </c>
    </row>
    <row r="673" spans="1:7" x14ac:dyDescent="0.25">
      <c r="A673" t="str">
        <f>"Encyclopedia of Marine Natural Products, 3V Set,2e"</f>
        <v>Encyclopedia of Marine Natural Products, 3V Set,2e</v>
      </c>
      <c r="B673" t="str">
        <f>"9783527334292"</f>
        <v>9783527334292</v>
      </c>
      <c r="C673">
        <v>720</v>
      </c>
      <c r="D673" t="str">
        <f>"USD"</f>
        <v>USD</v>
      </c>
      <c r="E673" t="str">
        <f>"2014"</f>
        <v>2014</v>
      </c>
      <c r="F673" t="str">
        <f>"Kornprobst"</f>
        <v>Kornprobst</v>
      </c>
      <c r="G673" t="str">
        <f>"avanddanesh"</f>
        <v>avanddanesh</v>
      </c>
    </row>
    <row r="674" spans="1:7" x14ac:dyDescent="0.25">
      <c r="A674" t="str">
        <f>"Encyclopedia of NMR, 10V Set"</f>
        <v>Encyclopedia of NMR, 10V Set</v>
      </c>
      <c r="B674" t="str">
        <f>"9780470058213"</f>
        <v>9780470058213</v>
      </c>
      <c r="C674">
        <v>2364</v>
      </c>
      <c r="D674" t="str">
        <f>"USD"</f>
        <v>USD</v>
      </c>
      <c r="E674" t="str">
        <f>"2012"</f>
        <v>2012</v>
      </c>
      <c r="F674" t="str">
        <f>"Harris"</f>
        <v>Harris</v>
      </c>
      <c r="G674" t="str">
        <f>"avanddanesh"</f>
        <v>avanddanesh</v>
      </c>
    </row>
    <row r="675" spans="1:7" x14ac:dyDescent="0.25">
      <c r="A675" t="str">
        <f>"Encyclopedia of Physical Organic Chemistry, 6V Set"</f>
        <v>Encyclopedia of Physical Organic Chemistry, 6V Set</v>
      </c>
      <c r="B675" t="str">
        <f>"9781118470459"</f>
        <v>9781118470459</v>
      </c>
      <c r="C675">
        <v>1800</v>
      </c>
      <c r="D675" t="str">
        <f>"USD"</f>
        <v>USD</v>
      </c>
      <c r="E675" t="str">
        <f>"2017"</f>
        <v>2017</v>
      </c>
      <c r="F675" t="str">
        <f>"Wang"</f>
        <v>Wang</v>
      </c>
      <c r="G675" t="str">
        <f>"avanddanesh"</f>
        <v>avanddanesh</v>
      </c>
    </row>
    <row r="676" spans="1:7" x14ac:dyDescent="0.25">
      <c r="A676" t="str">
        <f>"ENCYCLOPEDIA OF POLYMER SCIENCE AND TECHNOLOGY, Set of 3 vols, HB"</f>
        <v>ENCYCLOPEDIA OF POLYMER SCIENCE AND TECHNOLOGY, Set of 3 vols, HB</v>
      </c>
      <c r="B676" t="str">
        <f>"9788189741921"</f>
        <v>9788189741921</v>
      </c>
      <c r="C676">
        <v>119.91</v>
      </c>
      <c r="D676" t="str">
        <f>"USD"</f>
        <v>USD</v>
      </c>
      <c r="E676" t="str">
        <f>"2009"</f>
        <v>2009</v>
      </c>
      <c r="F676" t="str">
        <f>"Naderpour"</f>
        <v>Naderpour</v>
      </c>
      <c r="G676" t="str">
        <f>"supply"</f>
        <v>supply</v>
      </c>
    </row>
    <row r="677" spans="1:7" x14ac:dyDescent="0.25">
      <c r="A677" t="str">
        <f>"Encyclopedia of Radicals in Chemistry, Biology and Materials, 4V Set"</f>
        <v>Encyclopedia of Radicals in Chemistry, Biology and Materials, 4V Set</v>
      </c>
      <c r="B677" t="str">
        <f>"9780470971253"</f>
        <v>9780470971253</v>
      </c>
      <c r="C677">
        <v>549</v>
      </c>
      <c r="D677" t="str">
        <f>"USD"</f>
        <v>USD</v>
      </c>
      <c r="E677" t="str">
        <f>"2012"</f>
        <v>2012</v>
      </c>
      <c r="F677" t="str">
        <f>"Chatgilialoglu"</f>
        <v>Chatgilialoglu</v>
      </c>
      <c r="G677" t="str">
        <f>"avanddanesh"</f>
        <v>avanddanesh</v>
      </c>
    </row>
    <row r="678" spans="1:7" x14ac:dyDescent="0.25">
      <c r="A678" t="str">
        <f>"Energetic CompoundsMethods for Prediction of their Performance"</f>
        <v>Energetic CompoundsMethods for Prediction of their Performance</v>
      </c>
      <c r="B678" t="str">
        <f>"9783110521849"</f>
        <v>9783110521849</v>
      </c>
      <c r="C678">
        <v>44.95</v>
      </c>
      <c r="D678" t="str">
        <f>"EUR"</f>
        <v>EUR</v>
      </c>
      <c r="E678" t="str">
        <f>"2017"</f>
        <v>2017</v>
      </c>
      <c r="F678" t="str">
        <f>"Keshavarz, Mohammad"</f>
        <v>Keshavarz, Mohammad</v>
      </c>
      <c r="G678" t="str">
        <f>"AsarBartar"</f>
        <v>AsarBartar</v>
      </c>
    </row>
    <row r="679" spans="1:7" x14ac:dyDescent="0.25">
      <c r="A679" t="str">
        <f>"Energetic Materials: From Cradle to Grave"</f>
        <v>Energetic Materials: From Cradle to Grave</v>
      </c>
      <c r="B679" t="str">
        <f>"9783319592060"</f>
        <v>9783319592060</v>
      </c>
      <c r="C679">
        <v>224.99</v>
      </c>
      <c r="D679" t="str">
        <f>"EUR"</f>
        <v>EUR</v>
      </c>
      <c r="E679" t="str">
        <f>"2017"</f>
        <v>2017</v>
      </c>
      <c r="F679" t="str">
        <f>"Shukla"</f>
        <v>Shukla</v>
      </c>
      <c r="G679" t="str">
        <f>"negarestanabi"</f>
        <v>negarestanabi</v>
      </c>
    </row>
    <row r="680" spans="1:7" x14ac:dyDescent="0.25">
      <c r="A680" t="str">
        <f>"Energy and Climate:How to manage the energy transition"</f>
        <v>Energy and Climate:How to manage the energy transition</v>
      </c>
      <c r="B680" t="str">
        <f>"9780470744277"</f>
        <v>9780470744277</v>
      </c>
      <c r="C680">
        <v>41.25</v>
      </c>
      <c r="D680" t="str">
        <f>"USD"</f>
        <v>USD</v>
      </c>
      <c r="E680" t="str">
        <f>"2009"</f>
        <v>2009</v>
      </c>
      <c r="F680" t="str">
        <f>"Rojey"</f>
        <v>Rojey</v>
      </c>
      <c r="G680" t="str">
        <f>"safirketab"</f>
        <v>safirketab</v>
      </c>
    </row>
    <row r="681" spans="1:7" x14ac:dyDescent="0.25">
      <c r="A681" t="str">
        <f>"Engineered Nanoparticles and the Environment: Biophysicochemical Processes and Toxicity"</f>
        <v>Engineered Nanoparticles and the Environment: Biophysicochemical Processes and Toxicity</v>
      </c>
      <c r="B681" t="str">
        <f>"9781119275824"</f>
        <v>9781119275824</v>
      </c>
      <c r="C681">
        <v>165.8</v>
      </c>
      <c r="D681" t="str">
        <f>"USD"</f>
        <v>USD</v>
      </c>
      <c r="E681" t="str">
        <f>"2016"</f>
        <v>2016</v>
      </c>
      <c r="F681" t="str">
        <f>"Xing"</f>
        <v>Xing</v>
      </c>
      <c r="G681" t="str">
        <f>"avanddanesh"</f>
        <v>avanddanesh</v>
      </c>
    </row>
    <row r="682" spans="1:7" x14ac:dyDescent="0.25">
      <c r="A682" t="str">
        <f>"ENGINEERING ASPECTS OF MILK AND DAIRY PRODUCTS (CONTEMPORARY FOOD ENGINEERING)"</f>
        <v>ENGINEERING ASPECTS OF MILK AND DAIRY PRODUCTS (CONTEMPORARY FOOD ENGINEERING)</v>
      </c>
      <c r="B682" t="str">
        <f>"9781420090222"</f>
        <v>9781420090222</v>
      </c>
      <c r="C682">
        <v>32.4</v>
      </c>
      <c r="D682" t="str">
        <f>"GBP"</f>
        <v>GBP</v>
      </c>
      <c r="E682" t="str">
        <f>"2010"</f>
        <v>2010</v>
      </c>
      <c r="F682" t="str">
        <f>"JOSE A. TEIXEIRA(ED"</f>
        <v>JOSE A. TEIXEIRA(ED</v>
      </c>
      <c r="G682" t="str">
        <f>"AsarBartar"</f>
        <v>AsarBartar</v>
      </c>
    </row>
    <row r="683" spans="1:7" x14ac:dyDescent="0.25">
      <c r="A683" t="str">
        <f>"Engineering Chemistry with Laboratory Experiments"</f>
        <v>Engineering Chemistry with Laboratory Experiments</v>
      </c>
      <c r="B683" t="str">
        <f>"9788120351585"</f>
        <v>9788120351585</v>
      </c>
      <c r="C683">
        <v>9.8699999999999992</v>
      </c>
      <c r="D683" t="str">
        <f>"USD"</f>
        <v>USD</v>
      </c>
      <c r="E683" t="str">
        <f>"2016"</f>
        <v>2016</v>
      </c>
      <c r="F683" t="str">
        <f>"Mohapatra"</f>
        <v>Mohapatra</v>
      </c>
      <c r="G683" t="str">
        <f>"negarestanabi"</f>
        <v>negarestanabi</v>
      </c>
    </row>
    <row r="684" spans="1:7" x14ac:dyDescent="0.25">
      <c r="A684" t="str">
        <f>"Engineering Chemistry, 3/ed"</f>
        <v>Engineering Chemistry, 3/ed</v>
      </c>
      <c r="B684" t="str">
        <f>"9788120350267"</f>
        <v>9788120350267</v>
      </c>
      <c r="C684">
        <v>9.26</v>
      </c>
      <c r="D684" t="str">
        <f>"USD"</f>
        <v>USD</v>
      </c>
      <c r="E684" t="str">
        <f>"2015"</f>
        <v>2015</v>
      </c>
      <c r="F684" t="str">
        <f>"Krishnamurthy, et al"</f>
        <v>Krishnamurthy, et al</v>
      </c>
      <c r="G684" t="str">
        <f>"negarestanabi"</f>
        <v>negarestanabi</v>
      </c>
    </row>
    <row r="685" spans="1:7" x14ac:dyDescent="0.25">
      <c r="A685" t="str">
        <f>"ENGINEERING MICROBIAL METABOLISM FOR CHEMICAL SYNTHESIS: REVIEWS AND PERSPECTIVES"</f>
        <v>ENGINEERING MICROBIAL METABOLISM FOR CHEMICAL SYNTHESIS: REVIEWS AND PERSPECTIVES</v>
      </c>
      <c r="B685" t="str">
        <f>"9781786344298"</f>
        <v>9781786344298</v>
      </c>
      <c r="C685">
        <v>77.400000000000006</v>
      </c>
      <c r="D685" t="str">
        <f>"GBP"</f>
        <v>GBP</v>
      </c>
      <c r="E685" t="str">
        <f>"2018"</f>
        <v>2018</v>
      </c>
      <c r="F685" t="str">
        <f>"YAN YAJUN"</f>
        <v>YAN YAJUN</v>
      </c>
      <c r="G685" t="str">
        <f>"AsarBartar"</f>
        <v>AsarBartar</v>
      </c>
    </row>
    <row r="686" spans="1:7" x14ac:dyDescent="0.25">
      <c r="A686" t="str">
        <f>"Engineering of Polymers and Chemical Complexity, Two-Volume Set: Engineering of Polymers and Chemical Complexity, Volume I: Current State of the Art"</f>
        <v>Engineering of Polymers and Chemical Complexity, Two-Volume Set: Engineering of Polymers and Chemical Complexity, Volume I: Current State of the Art</v>
      </c>
      <c r="B686" t="str">
        <f>"9781926895864"</f>
        <v>9781926895864</v>
      </c>
      <c r="C686">
        <v>92.8</v>
      </c>
      <c r="D686" t="str">
        <f>"GBP"</f>
        <v>GBP</v>
      </c>
      <c r="E686" t="str">
        <f>"2014"</f>
        <v>2014</v>
      </c>
      <c r="F686" t="str">
        <f>"Antonio Ballada(Edi"</f>
        <v>Antonio Ballada(Edi</v>
      </c>
      <c r="G686" t="str">
        <f>"AsarBartar"</f>
        <v>AsarBartar</v>
      </c>
    </row>
    <row r="687" spans="1:7" x14ac:dyDescent="0.25">
      <c r="A687" t="str">
        <f>"Engineering Risk Management"</f>
        <v>Engineering Risk Management</v>
      </c>
      <c r="B687" t="str">
        <f>"9783110418033"</f>
        <v>9783110418033</v>
      </c>
      <c r="C687">
        <v>59.5</v>
      </c>
      <c r="D687" t="str">
        <f>"EUR"</f>
        <v>EUR</v>
      </c>
      <c r="E687" t="str">
        <f>"2016"</f>
        <v>2016</v>
      </c>
      <c r="F687" t="str">
        <f>"Meyer, Thierry / Re"</f>
        <v>Meyer, Thierry / Re</v>
      </c>
      <c r="G687" t="str">
        <f>"AsarBartar"</f>
        <v>AsarBartar</v>
      </c>
    </row>
    <row r="688" spans="1:7" x14ac:dyDescent="0.25">
      <c r="A688" t="str">
        <f>"Engineering the Genetic Code: Expanding the Amino Acid Repertoire for the Design of Novel Proteins"</f>
        <v>Engineering the Genetic Code: Expanding the Amino Acid Repertoire for the Design of Novel Proteins</v>
      </c>
      <c r="B688" t="str">
        <f>"9783527312436"</f>
        <v>9783527312436</v>
      </c>
      <c r="C688">
        <v>98</v>
      </c>
      <c r="D688" t="str">
        <f>"USD"</f>
        <v>USD</v>
      </c>
      <c r="E688" t="str">
        <f>"2006"</f>
        <v>2006</v>
      </c>
      <c r="F688" t="str">
        <f>"Biochemistry"</f>
        <v>Biochemistry</v>
      </c>
      <c r="G688" t="str">
        <f>"safirketab"</f>
        <v>safirketab</v>
      </c>
    </row>
    <row r="689" spans="1:7" x14ac:dyDescent="0.25">
      <c r="A689" t="str">
        <f>"Engineering the Genetic Code: Expanding the Amino Acid Repertoire for the Design of Novel Proteins"</f>
        <v>Engineering the Genetic Code: Expanding the Amino Acid Repertoire for the Design of Novel Proteins</v>
      </c>
      <c r="B689" t="str">
        <f>"9783527312436"</f>
        <v>9783527312436</v>
      </c>
      <c r="C689">
        <v>98</v>
      </c>
      <c r="D689" t="str">
        <f>"USD"</f>
        <v>USD</v>
      </c>
      <c r="E689" t="str">
        <f>"2005"</f>
        <v>2005</v>
      </c>
      <c r="F689" t="str">
        <f>"Budisa"</f>
        <v>Budisa</v>
      </c>
      <c r="G689" t="str">
        <f>"avanddanesh"</f>
        <v>avanddanesh</v>
      </c>
    </row>
    <row r="690" spans="1:7" x14ac:dyDescent="0.25">
      <c r="A690" t="str">
        <f>"Entropic Invariants of Two-Phase Flows"</f>
        <v>Entropic Invariants of Two-Phase Flows</v>
      </c>
      <c r="B690" t="str">
        <f>"9780128103111"</f>
        <v>9780128103111</v>
      </c>
      <c r="C690">
        <v>180</v>
      </c>
      <c r="D690" t="str">
        <f>"USD"</f>
        <v>USD</v>
      </c>
      <c r="E690" t="str">
        <f>"2017"</f>
        <v>2017</v>
      </c>
      <c r="F690" t="str">
        <f>"Barsky"</f>
        <v>Barsky</v>
      </c>
      <c r="G690" t="str">
        <f>"dehkadehketab"</f>
        <v>dehkadehketab</v>
      </c>
    </row>
    <row r="691" spans="1:7" x14ac:dyDescent="0.25">
      <c r="A691" t="str">
        <f>"Environmental Chemistry, Tenth Edition"</f>
        <v>Environmental Chemistry, Tenth Edition</v>
      </c>
      <c r="B691" t="str">
        <f>"9781498776936"</f>
        <v>9781498776936</v>
      </c>
      <c r="C691">
        <v>63</v>
      </c>
      <c r="D691" t="str">
        <f>"GBP"</f>
        <v>GBP</v>
      </c>
      <c r="E691" t="str">
        <f>"2017"</f>
        <v>2017</v>
      </c>
      <c r="F691" t="str">
        <f>"Stanley Manahan"</f>
        <v>Stanley Manahan</v>
      </c>
      <c r="G691" t="str">
        <f>"AsarBartar"</f>
        <v>AsarBartar</v>
      </c>
    </row>
    <row r="692" spans="1:7" x14ac:dyDescent="0.25">
      <c r="A692" t="str">
        <f>"ENVIRONMENTAL EFFECTS ON SEAFOOD AVAILABILITY, SAFETY,"</f>
        <v>ENVIRONMENTAL EFFECTS ON SEAFOOD AVAILABILITY, SAFETY,</v>
      </c>
      <c r="B692" t="str">
        <f>"9781439803271"</f>
        <v>9781439803271</v>
      </c>
      <c r="C692">
        <v>34.5</v>
      </c>
      <c r="D692" t="str">
        <f>"GBP"</f>
        <v>GBP</v>
      </c>
      <c r="E692" t="str">
        <f>"2011"</f>
        <v>2011</v>
      </c>
      <c r="F692" t="str">
        <f>"BONNIE SUN PAN(EDIT"</f>
        <v>BONNIE SUN PAN(EDIT</v>
      </c>
      <c r="G692" t="str">
        <f>"AsarBartar"</f>
        <v>AsarBartar</v>
      </c>
    </row>
    <row r="693" spans="1:7" x14ac:dyDescent="0.25">
      <c r="A693" t="str">
        <f>"Environmental Forensics: Proceedings of the 2013 INEF Conference"</f>
        <v>Environmental Forensics: Proceedings of the 2013 INEF Conference</v>
      </c>
      <c r="B693" t="str">
        <f>"9781849739443"</f>
        <v>9781849739443</v>
      </c>
      <c r="C693">
        <v>68.8</v>
      </c>
      <c r="D693" t="str">
        <f>"GBP"</f>
        <v>GBP</v>
      </c>
      <c r="E693" t="str">
        <f>"2014"</f>
        <v>2014</v>
      </c>
      <c r="F693" t="str">
        <f>"Robert D Morrison(Ed"</f>
        <v>Robert D Morrison(Ed</v>
      </c>
      <c r="G693" t="str">
        <f>"arzinbooks"</f>
        <v>arzinbooks</v>
      </c>
    </row>
    <row r="694" spans="1:7" x14ac:dyDescent="0.25">
      <c r="A694" t="str">
        <f>"Environmental Geochemistry: Site Characterization, Data Analysis and Case Histories, 2nd Edition"</f>
        <v>Environmental Geochemistry: Site Characterization, Data Analysis and Case Histories, 2nd Edition</v>
      </c>
      <c r="B694" t="str">
        <f>"9780444637635"</f>
        <v>9780444637635</v>
      </c>
      <c r="C694">
        <v>139.5</v>
      </c>
      <c r="D694" t="str">
        <f>"USD"</f>
        <v>USD</v>
      </c>
      <c r="E694" t="str">
        <f>"2017"</f>
        <v>2017</v>
      </c>
      <c r="F694" t="str">
        <f>"DeVivo et al"</f>
        <v>DeVivo et al</v>
      </c>
      <c r="G694" t="str">
        <f>"arang"</f>
        <v>arang</v>
      </c>
    </row>
    <row r="695" spans="1:7" x14ac:dyDescent="0.25">
      <c r="A695" t="str">
        <f>"Environmental Impact of Polymers"</f>
        <v>Environmental Impact of Polymers</v>
      </c>
      <c r="B695" t="str">
        <f>"9781848216211"</f>
        <v>9781848216211</v>
      </c>
      <c r="C695">
        <v>150.69999999999999</v>
      </c>
      <c r="D695" t="str">
        <f>"USD"</f>
        <v>USD</v>
      </c>
      <c r="E695" t="str">
        <f>"2014"</f>
        <v>2014</v>
      </c>
      <c r="F695" t="str">
        <f>"Hamaide"</f>
        <v>Hamaide</v>
      </c>
      <c r="G695" t="str">
        <f>"avanddanesh"</f>
        <v>avanddanesh</v>
      </c>
    </row>
    <row r="696" spans="1:7" x14ac:dyDescent="0.25">
      <c r="A696" t="str">
        <f>"Environmental Inorganic Chemistry for Engineers"</f>
        <v>Environmental Inorganic Chemistry for Engineers</v>
      </c>
      <c r="B696" t="str">
        <f>"9780128498873"</f>
        <v>9780128498873</v>
      </c>
      <c r="C696">
        <v>108</v>
      </c>
      <c r="D696" t="str">
        <f>"USD"</f>
        <v>USD</v>
      </c>
      <c r="E696" t="str">
        <f>"2017"</f>
        <v>2017</v>
      </c>
      <c r="F696" t="str">
        <f>"Speight"</f>
        <v>Speight</v>
      </c>
      <c r="G696" t="str">
        <f>"dehkadehketab"</f>
        <v>dehkadehketab</v>
      </c>
    </row>
    <row r="697" spans="1:7" x14ac:dyDescent="0.25">
      <c r="A697" t="str">
        <f>"ENVIRONMENTAL INVESTIGATION AND REMEDIATION: 1,4-DIOXAN"</f>
        <v>ENVIRONMENTAL INVESTIGATION AND REMEDIATION: 1,4-DIOXAN</v>
      </c>
      <c r="B697" t="str">
        <f>"9781566706629"</f>
        <v>9781566706629</v>
      </c>
      <c r="C697">
        <v>32.4</v>
      </c>
      <c r="D697" t="str">
        <f>"GBP"</f>
        <v>GBP</v>
      </c>
      <c r="E697" t="str">
        <f>"2010"</f>
        <v>2010</v>
      </c>
      <c r="F697" t="str">
        <f>"THOMAS MOHR"</f>
        <v>THOMAS MOHR</v>
      </c>
      <c r="G697" t="str">
        <f>"AsarBartar"</f>
        <v>AsarBartar</v>
      </c>
    </row>
    <row r="698" spans="1:7" x14ac:dyDescent="0.25">
      <c r="A698" t="str">
        <f>"Environmental Organic Chemistry,3e"</f>
        <v>Environmental Organic Chemistry,3e</v>
      </c>
      <c r="B698" t="str">
        <f>"9781118767238"</f>
        <v>9781118767238</v>
      </c>
      <c r="C698">
        <v>127.5</v>
      </c>
      <c r="D698" t="str">
        <f>"USD"</f>
        <v>USD</v>
      </c>
      <c r="E698" t="str">
        <f>"2016"</f>
        <v>2016</v>
      </c>
      <c r="F698" t="str">
        <f>"Schwarzenbach"</f>
        <v>Schwarzenbach</v>
      </c>
      <c r="G698" t="str">
        <f>"avanddanesh"</f>
        <v>avanddanesh</v>
      </c>
    </row>
    <row r="699" spans="1:7" x14ac:dyDescent="0.25">
      <c r="A699" t="str">
        <f>"Enzyme Kinetics: Principles and Methods"</f>
        <v>Enzyme Kinetics: Principles and Methods</v>
      </c>
      <c r="B699" t="str">
        <f>"9783527319572"</f>
        <v>9783527319572</v>
      </c>
      <c r="C699">
        <v>126</v>
      </c>
      <c r="D699" t="str">
        <f>"USD"</f>
        <v>USD</v>
      </c>
      <c r="E699" t="str">
        <f>"2008"</f>
        <v>2008</v>
      </c>
      <c r="F699" t="str">
        <f>"Bisswanger"</f>
        <v>Bisswanger</v>
      </c>
      <c r="G699" t="str">
        <f>"safirketab"</f>
        <v>safirketab</v>
      </c>
    </row>
    <row r="700" spans="1:7" x14ac:dyDescent="0.25">
      <c r="A700" t="str">
        <f>"Enzyme Kinetics: Principles and Methods,3e"</f>
        <v>Enzyme Kinetics: Principles and Methods,3e</v>
      </c>
      <c r="B700" t="str">
        <f>"9783527342518"</f>
        <v>9783527342518</v>
      </c>
      <c r="C700">
        <v>171</v>
      </c>
      <c r="D700" t="str">
        <f>"USD"</f>
        <v>USD</v>
      </c>
      <c r="E700" t="str">
        <f>"2017"</f>
        <v>2017</v>
      </c>
      <c r="F700" t="str">
        <f>"Bisswanger"</f>
        <v>Bisswanger</v>
      </c>
      <c r="G700" t="str">
        <f>"avanddanesh"</f>
        <v>avanddanesh</v>
      </c>
    </row>
    <row r="701" spans="1:7" x14ac:dyDescent="0.25">
      <c r="A701" t="str">
        <f>"Enzyme Regulation in Metabolic Pathways"</f>
        <v>Enzyme Regulation in Metabolic Pathways</v>
      </c>
      <c r="B701" t="str">
        <f>"9781119155386"</f>
        <v>9781119155386</v>
      </c>
      <c r="C701">
        <v>81</v>
      </c>
      <c r="D701" t="str">
        <f>"USD"</f>
        <v>USD</v>
      </c>
      <c r="E701" t="str">
        <f>"2017"</f>
        <v>2017</v>
      </c>
      <c r="F701" t="str">
        <f>"Wolfinbarger Jr"</f>
        <v>Wolfinbarger Jr</v>
      </c>
      <c r="G701" t="str">
        <f>"avanddanesh"</f>
        <v>avanddanesh</v>
      </c>
    </row>
    <row r="702" spans="1:7" x14ac:dyDescent="0.25">
      <c r="A702" t="str">
        <f>"Epigenetics for Drug Discovery"</f>
        <v>Epigenetics for Drug Discovery</v>
      </c>
      <c r="B702" t="str">
        <f>"9781849738828"</f>
        <v>9781849738828</v>
      </c>
      <c r="C702">
        <v>116.4</v>
      </c>
      <c r="D702" t="str">
        <f>"GBP"</f>
        <v>GBP</v>
      </c>
      <c r="E702" t="str">
        <f>"2016"</f>
        <v>2016</v>
      </c>
      <c r="F702" t="str">
        <f>"Carey"</f>
        <v>Carey</v>
      </c>
      <c r="G702" t="str">
        <f>"arzinbooks"</f>
        <v>arzinbooks</v>
      </c>
    </row>
    <row r="703" spans="1:7" x14ac:dyDescent="0.25">
      <c r="A703" t="str">
        <f>"Essential Biomonitoring Methods"</f>
        <v>Essential Biomonitoring Methods</v>
      </c>
      <c r="B703" t="str">
        <f>"9783527314782"</f>
        <v>9783527314782</v>
      </c>
      <c r="C703">
        <v>93</v>
      </c>
      <c r="D703" t="str">
        <f>"USD"</f>
        <v>USD</v>
      </c>
      <c r="E703" t="str">
        <f>"2006"</f>
        <v>2006</v>
      </c>
      <c r="F703" t="str">
        <f>"Analytical Chemistry"</f>
        <v>Analytical Chemistry</v>
      </c>
      <c r="G703" t="str">
        <f>"safirketab"</f>
        <v>safirketab</v>
      </c>
    </row>
    <row r="704" spans="1:7" x14ac:dyDescent="0.25">
      <c r="A704" t="str">
        <f>"Essential Fluid, Electrolyte and pH Homeostasis"</f>
        <v>Essential Fluid, Electrolyte and pH Homeostasis</v>
      </c>
      <c r="B704" t="str">
        <f>"9780470683064"</f>
        <v>9780470683064</v>
      </c>
      <c r="C704">
        <v>24</v>
      </c>
      <c r="D704" t="str">
        <f>"USD"</f>
        <v>USD</v>
      </c>
      <c r="E704" t="str">
        <f>"2011"</f>
        <v>2011</v>
      </c>
      <c r="F704" t="str">
        <f>"Cockerill"</f>
        <v>Cockerill</v>
      </c>
      <c r="G704" t="str">
        <f>"avanddanesh"</f>
        <v>avanddanesh</v>
      </c>
    </row>
    <row r="705" spans="1:7" x14ac:dyDescent="0.25">
      <c r="A705" t="str">
        <f>"ESSENTIALS OF APPLIED POLYMER SCIENCE,    'NEW'"</f>
        <v>ESSENTIALS OF APPLIED POLYMER SCIENCE,    'NEW'</v>
      </c>
      <c r="B705" t="str">
        <f>"9789350530597"</f>
        <v>9789350530597</v>
      </c>
      <c r="C705">
        <v>16.59</v>
      </c>
      <c r="D705" t="str">
        <f>"USD"</f>
        <v>USD</v>
      </c>
      <c r="E705" t="str">
        <f>"2013"</f>
        <v>2013</v>
      </c>
      <c r="F705" t="str">
        <f>"D Nayyar"</f>
        <v>D Nayyar</v>
      </c>
      <c r="G705" t="str">
        <f>"supply"</f>
        <v>supply</v>
      </c>
    </row>
    <row r="706" spans="1:7" x14ac:dyDescent="0.25">
      <c r="A706" t="str">
        <f>"Essentials of Crystallography, 2/e"</f>
        <v>Essentials of Crystallography, 2/e</v>
      </c>
      <c r="B706" t="str">
        <f>"9781842658413"</f>
        <v>9781842658413</v>
      </c>
      <c r="C706">
        <v>34.97</v>
      </c>
      <c r="D706" t="str">
        <f>"GBP"</f>
        <v>GBP</v>
      </c>
      <c r="E706" t="str">
        <f>"2014"</f>
        <v>2014</v>
      </c>
      <c r="F706" t="str">
        <f>"Wahab"</f>
        <v>Wahab</v>
      </c>
      <c r="G706" t="str">
        <f>"jahanadib"</f>
        <v>jahanadib</v>
      </c>
    </row>
    <row r="707" spans="1:7" x14ac:dyDescent="0.25">
      <c r="A707" t="str">
        <f>"Essentials Of Foyes Principles Of Medicinal Chemistry"</f>
        <v>Essentials Of Foyes Principles Of Medicinal Chemistry</v>
      </c>
      <c r="B707" t="str">
        <f>"9789351296683"</f>
        <v>9789351296683</v>
      </c>
      <c r="C707">
        <v>20.399999999999999</v>
      </c>
      <c r="D707" t="str">
        <f>"USD"</f>
        <v>USD</v>
      </c>
      <c r="E707" t="str">
        <f>"2017"</f>
        <v>2017</v>
      </c>
      <c r="F707" t="str">
        <f>"Lemke"</f>
        <v>Lemke</v>
      </c>
      <c r="G707" t="str">
        <f>"jahanadib"</f>
        <v>jahanadib</v>
      </c>
    </row>
    <row r="708" spans="1:7" x14ac:dyDescent="0.25">
      <c r="A708" t="str">
        <f>"Essentials Of Foyes Principles Of Medicinal Chemistry"</f>
        <v>Essentials Of Foyes Principles Of Medicinal Chemistry</v>
      </c>
      <c r="B708" t="str">
        <f>"9789351296683"</f>
        <v>9789351296683</v>
      </c>
      <c r="C708">
        <v>20.399999999999999</v>
      </c>
      <c r="D708" t="str">
        <f>"USD"</f>
        <v>USD</v>
      </c>
      <c r="E708" t="str">
        <f>"2017"</f>
        <v>2017</v>
      </c>
      <c r="F708" t="str">
        <f>"Lemke"</f>
        <v>Lemke</v>
      </c>
      <c r="G708" t="str">
        <f>"safirketab"</f>
        <v>safirketab</v>
      </c>
    </row>
    <row r="709" spans="1:7" x14ac:dyDescent="0.25">
      <c r="A709" t="str">
        <f>"Essentials of Inorganic Chemistry: For Students of Pharmacy, Pharmaceutical Sciences and Medicinal Chemistry"</f>
        <v>Essentials of Inorganic Chemistry: For Students of Pharmacy, Pharmaceutical Sciences and Medicinal Chemistry</v>
      </c>
      <c r="B709" t="str">
        <f>"9780470665589"</f>
        <v>9780470665589</v>
      </c>
      <c r="C709">
        <v>44</v>
      </c>
      <c r="D709" t="str">
        <f>"USD"</f>
        <v>USD</v>
      </c>
      <c r="E709" t="str">
        <f>"2015"</f>
        <v>2015</v>
      </c>
      <c r="F709" t="str">
        <f>"Strohfeldt"</f>
        <v>Strohfeldt</v>
      </c>
      <c r="G709" t="str">
        <f>"avanddanesh"</f>
        <v>avanddanesh</v>
      </c>
    </row>
    <row r="710" spans="1:7" x14ac:dyDescent="0.25">
      <c r="A710" t="str">
        <f>"Essentials Of Organic Chemistry"</f>
        <v>Essentials Of Organic Chemistry</v>
      </c>
      <c r="B710" t="str">
        <f>"9783132025318"</f>
        <v>9783132025318</v>
      </c>
      <c r="C710">
        <v>30</v>
      </c>
      <c r="D710" t="str">
        <f>"EUR"</f>
        <v>EUR</v>
      </c>
      <c r="E710" t="str">
        <f>"2015"</f>
        <v>2015</v>
      </c>
      <c r="F710" t="str">
        <f>"Breitmaier"</f>
        <v>Breitmaier</v>
      </c>
      <c r="G710" t="str">
        <f>"Parsian Publication"</f>
        <v>Parsian Publication</v>
      </c>
    </row>
    <row r="711" spans="1:7" x14ac:dyDescent="0.25">
      <c r="A711" t="str">
        <f>"Essentials of Pericyclic and Photochemical Reactions"</f>
        <v>Essentials of Pericyclic and Photochemical Reactions</v>
      </c>
      <c r="B711" t="str">
        <f>"9783319459332"</f>
        <v>9783319459332</v>
      </c>
      <c r="C711">
        <v>107.99</v>
      </c>
      <c r="D711" t="str">
        <f>"EUR"</f>
        <v>EUR</v>
      </c>
      <c r="E711" t="str">
        <f>"2017"</f>
        <v>2017</v>
      </c>
      <c r="F711" t="str">
        <f>"Dinda"</f>
        <v>Dinda</v>
      </c>
      <c r="G711" t="str">
        <f>"negarestanabi"</f>
        <v>negarestanabi</v>
      </c>
    </row>
    <row r="712" spans="1:7" x14ac:dyDescent="0.25">
      <c r="A712" t="str">
        <f>"Establishing A CGMP Laboratory Audit System: A Practical Guide"</f>
        <v>Establishing A CGMP Laboratory Audit System: A Practical Guide</v>
      </c>
      <c r="B712" t="str">
        <f>"9780471738404"</f>
        <v>9780471738404</v>
      </c>
      <c r="C712">
        <v>63</v>
      </c>
      <c r="D712" t="str">
        <f>"USD"</f>
        <v>USD</v>
      </c>
      <c r="E712" t="str">
        <f>"2006"</f>
        <v>2006</v>
      </c>
      <c r="F712" t="str">
        <f>"Bliesner-Chemistry"</f>
        <v>Bliesner-Chemistry</v>
      </c>
      <c r="G712" t="str">
        <f>"safirketab"</f>
        <v>safirketab</v>
      </c>
    </row>
    <row r="713" spans="1:7" x14ac:dyDescent="0.25">
      <c r="A713" t="str">
        <f>"Eureka: Biochemistry &amp; Metabolism"</f>
        <v>Eureka: Biochemistry &amp; Metabolism</v>
      </c>
      <c r="B713" t="str">
        <f>"9781907816833"</f>
        <v>9781907816833</v>
      </c>
      <c r="C713">
        <v>20.65</v>
      </c>
      <c r="D713" t="str">
        <f>"GBP"</f>
        <v>GBP</v>
      </c>
      <c r="E713" t="str">
        <f>"2015"</f>
        <v>2015</v>
      </c>
      <c r="F713" t="str">
        <f>"Â Andrew Davison,Â Â A"</f>
        <v>Â Andrew Davison,Â Â A</v>
      </c>
      <c r="G713" t="str">
        <f>"AsarBartar"</f>
        <v>AsarBartar</v>
      </c>
    </row>
    <row r="714" spans="1:7" x14ac:dyDescent="0.25">
      <c r="A714" t="str">
        <f>"Exam Survival Guide: Physical Chemistry"</f>
        <v>Exam Survival Guide: Physical Chemistry</v>
      </c>
      <c r="B714" t="str">
        <f>"9783319498089"</f>
        <v>9783319498089</v>
      </c>
      <c r="C714">
        <v>67.489999999999995</v>
      </c>
      <c r="D714" t="str">
        <f>"EUR"</f>
        <v>EUR</v>
      </c>
      <c r="E714" t="str">
        <f>"2017"</f>
        <v>2017</v>
      </c>
      <c r="F714" t="str">
        <f>"Vogt"</f>
        <v>Vogt</v>
      </c>
      <c r="G714" t="str">
        <f>"negarestanabi"</f>
        <v>negarestanabi</v>
      </c>
    </row>
    <row r="715" spans="1:7" x14ac:dyDescent="0.25">
      <c r="A715" t="str">
        <f>"Excitations in Organic Solids (International Series of Monographs on Physics)"</f>
        <v>Excitations in Organic Solids (International Series of Monographs on Physics)</v>
      </c>
      <c r="B715" t="str">
        <f>"9780198712435"</f>
        <v>9780198712435</v>
      </c>
      <c r="C715">
        <v>22.5</v>
      </c>
      <c r="D715" t="str">
        <f>"GBP"</f>
        <v>GBP</v>
      </c>
      <c r="E715" t="str">
        <f>"2014"</f>
        <v>2014</v>
      </c>
      <c r="F715" t="str">
        <f>"Vladimir M. Agranovi"</f>
        <v>Vladimir M. Agranovi</v>
      </c>
      <c r="G715" t="str">
        <f>"arzinbooks"</f>
        <v>arzinbooks</v>
      </c>
    </row>
    <row r="716" spans="1:7" x14ac:dyDescent="0.25">
      <c r="A716" t="str">
        <f>"Exotic Properties of Carbon Nanomatter: Advances in Physics and Chemistry"</f>
        <v>Exotic Properties of Carbon Nanomatter: Advances in Physics and Chemistry</v>
      </c>
      <c r="B716" t="str">
        <f>"9789401795661"</f>
        <v>9789401795661</v>
      </c>
      <c r="C716">
        <v>116.99</v>
      </c>
      <c r="D716" t="str">
        <f>"EUR"</f>
        <v>EUR</v>
      </c>
      <c r="E716" t="str">
        <f>"2015"</f>
        <v>2015</v>
      </c>
      <c r="F716" t="str">
        <f>"Putz"</f>
        <v>Putz</v>
      </c>
      <c r="G716" t="str">
        <f>"negarestanabi"</f>
        <v>negarestanabi</v>
      </c>
    </row>
    <row r="717" spans="1:7" x14ac:dyDescent="0.25">
      <c r="A717" t="str">
        <f>"Experimental Approaches of NMR Spectroscopy: Methodology and Application to Life Science and Materials Science"</f>
        <v>Experimental Approaches of NMR Spectroscopy: Methodology and Application to Life Science and Materials Science</v>
      </c>
      <c r="B717" t="str">
        <f>"9789811059650"</f>
        <v>9789811059650</v>
      </c>
      <c r="C717">
        <v>197.99</v>
      </c>
      <c r="D717" t="str">
        <f>"EUR"</f>
        <v>EUR</v>
      </c>
      <c r="E717" t="str">
        <f>"2018"</f>
        <v>2018</v>
      </c>
      <c r="F717" t="str">
        <f>"The Nuclear Magnetic"</f>
        <v>The Nuclear Magnetic</v>
      </c>
      <c r="G717" t="str">
        <f>"negarestanabi"</f>
        <v>negarestanabi</v>
      </c>
    </row>
    <row r="718" spans="1:7" x14ac:dyDescent="0.25">
      <c r="A718" t="str">
        <f>"Experimental Organic Chemistry,3e"</f>
        <v>Experimental Organic Chemistry,3e</v>
      </c>
      <c r="B718" t="str">
        <f>"9781119952381"</f>
        <v>9781119952381</v>
      </c>
      <c r="C718">
        <v>63</v>
      </c>
      <c r="D718" t="str">
        <f>"USD"</f>
        <v>USD</v>
      </c>
      <c r="E718" t="str">
        <f>"2017"</f>
        <v>2017</v>
      </c>
      <c r="F718" t="str">
        <f>"Cranwell"</f>
        <v>Cranwell</v>
      </c>
      <c r="G718" t="str">
        <f>"avanddanesh"</f>
        <v>avanddanesh</v>
      </c>
    </row>
    <row r="719" spans="1:7" x14ac:dyDescent="0.25">
      <c r="A719" t="str">
        <f>"Explosive Boiling of Superheated Cryogenic Liquids"</f>
        <v>Explosive Boiling of Superheated Cryogenic Liquids</v>
      </c>
      <c r="B719" t="str">
        <f>"9783527405756"</f>
        <v>9783527405756</v>
      </c>
      <c r="C719">
        <v>126</v>
      </c>
      <c r="D719" t="str">
        <f>"USD"</f>
        <v>USD</v>
      </c>
      <c r="E719" t="str">
        <f>"2007"</f>
        <v>2007</v>
      </c>
      <c r="F719" t="str">
        <f>"Baidakov"</f>
        <v>Baidakov</v>
      </c>
      <c r="G719" t="str">
        <f>"safirketab"</f>
        <v>safirketab</v>
      </c>
    </row>
    <row r="720" spans="1:7" x14ac:dyDescent="0.25">
      <c r="A720" t="str">
        <f>"Ex-vivo and In-vivo Optical Molecular Pathology"</f>
        <v>Ex-vivo and In-vivo Optical Molecular Pathology</v>
      </c>
      <c r="B720" t="str">
        <f>"9783527335138"</f>
        <v>9783527335138</v>
      </c>
      <c r="C720">
        <v>135</v>
      </c>
      <c r="D720" t="str">
        <f>"USD"</f>
        <v>USD</v>
      </c>
      <c r="E720" t="str">
        <f>"2014"</f>
        <v>2014</v>
      </c>
      <c r="F720" t="str">
        <f>"Popp"</f>
        <v>Popp</v>
      </c>
      <c r="G720" t="str">
        <f>"avanddanesh"</f>
        <v>avanddanesh</v>
      </c>
    </row>
    <row r="721" spans="1:7" x14ac:dyDescent="0.25">
      <c r="A721" t="str">
        <f>"Far- and Deep-Ultraviolet Spectroscopy"</f>
        <v>Far- and Deep-Ultraviolet Spectroscopy</v>
      </c>
      <c r="B721" t="str">
        <f>"9784431555483"</f>
        <v>9784431555483</v>
      </c>
      <c r="C721">
        <v>89.99</v>
      </c>
      <c r="D721" t="str">
        <f>"EUR"</f>
        <v>EUR</v>
      </c>
      <c r="E721" t="str">
        <f>"2015"</f>
        <v>2015</v>
      </c>
      <c r="F721" t="str">
        <f>"Ozaki"</f>
        <v>Ozaki</v>
      </c>
      <c r="G721" t="str">
        <f>"negarestanabi"</f>
        <v>negarestanabi</v>
      </c>
    </row>
    <row r="722" spans="1:7" x14ac:dyDescent="0.25">
      <c r="A722" t="str">
        <f>"Far-Field Optical Nanoscopy"</f>
        <v>Far-Field Optical Nanoscopy</v>
      </c>
      <c r="B722" t="str">
        <f>"9783662455463"</f>
        <v>9783662455463</v>
      </c>
      <c r="C722">
        <v>251.99</v>
      </c>
      <c r="D722" t="str">
        <f>"EUR"</f>
        <v>EUR</v>
      </c>
      <c r="E722" t="str">
        <f>"2015"</f>
        <v>2015</v>
      </c>
      <c r="F722" t="str">
        <f>"Tinnefeld"</f>
        <v>Tinnefeld</v>
      </c>
      <c r="G722" t="str">
        <f>"negarestanabi"</f>
        <v>negarestanabi</v>
      </c>
    </row>
    <row r="723" spans="1:7" x14ac:dyDescent="0.25">
      <c r="A723" t="str">
        <f>"Fasttrack: Chemistry of Drugs"</f>
        <v>Fasttrack: Chemistry of Drugs</v>
      </c>
      <c r="B723" t="str">
        <f>"9780857110831"</f>
        <v>9780857110831</v>
      </c>
      <c r="C723">
        <v>9.6</v>
      </c>
      <c r="D723" t="str">
        <f>"GBP"</f>
        <v>GBP</v>
      </c>
      <c r="E723" t="str">
        <f>"2014"</f>
        <v>2014</v>
      </c>
      <c r="F723" t="str">
        <f>"DAVID BARLOW AND DAV"</f>
        <v>DAVID BARLOW AND DAV</v>
      </c>
      <c r="G723" t="str">
        <f>"arzinbooks"</f>
        <v>arzinbooks</v>
      </c>
    </row>
    <row r="724" spans="1:7" x14ac:dyDescent="0.25">
      <c r="A724" t="str">
        <f>"FCC 2016, Food Chemicals Codex ; U.S.Pharmacopiea"</f>
        <v>FCC 2016, Food Chemicals Codex ; U.S.Pharmacopiea</v>
      </c>
      <c r="B724" t="str">
        <f>"9781936424511"</f>
        <v>9781936424511</v>
      </c>
      <c r="C724">
        <v>390</v>
      </c>
      <c r="D724" t="str">
        <f t="shared" ref="D724:D735" si="49">"USD"</f>
        <v>USD</v>
      </c>
      <c r="E724" t="str">
        <f>"2016"</f>
        <v>2016</v>
      </c>
      <c r="F724" t="str">
        <f>"U.S.PHARMACOPIEA"</f>
        <v>U.S.PHARMACOPIEA</v>
      </c>
      <c r="G724" t="str">
        <f>"arzinbooks"</f>
        <v>arzinbooks</v>
      </c>
    </row>
    <row r="725" spans="1:7" x14ac:dyDescent="0.25">
      <c r="A725" t="str">
        <f>"Fed-Batch Fermentation, A Practical Guide to Scalable Recombinant Protein Production in Escherichia Coli"</f>
        <v>Fed-Batch Fermentation, A Practical Guide to Scalable Recombinant Protein Production in Escherichia Coli</v>
      </c>
      <c r="B725" t="str">
        <f>"9780081013663"</f>
        <v>9780081013663</v>
      </c>
      <c r="C725">
        <v>184.5</v>
      </c>
      <c r="D725" t="str">
        <f t="shared" si="49"/>
        <v>USD</v>
      </c>
      <c r="E725" t="str">
        <f>"2017"</f>
        <v>2017</v>
      </c>
      <c r="F725" t="str">
        <f>"Moulton"</f>
        <v>Moulton</v>
      </c>
      <c r="G725" t="str">
        <f>"dehkadehketab"</f>
        <v>dehkadehketab</v>
      </c>
    </row>
    <row r="726" spans="1:7" x14ac:dyDescent="0.25">
      <c r="A726" t="str">
        <f>"Fermentation and Biochemical Engineering Handbook, 3rd Edition"</f>
        <v>Fermentation and Biochemical Engineering Handbook, 3rd Edition</v>
      </c>
      <c r="B726" t="str">
        <f>"9780128100363"</f>
        <v>9780128100363</v>
      </c>
      <c r="C726">
        <v>175.5</v>
      </c>
      <c r="D726" t="str">
        <f t="shared" si="49"/>
        <v>USD</v>
      </c>
      <c r="E726" t="str">
        <f>"2017"</f>
        <v>2017</v>
      </c>
      <c r="F726" t="str">
        <f>"Todaro and Vogel"</f>
        <v>Todaro and Vogel</v>
      </c>
      <c r="G726" t="str">
        <f>"dehkadehketab"</f>
        <v>dehkadehketab</v>
      </c>
    </row>
    <row r="727" spans="1:7" x14ac:dyDescent="0.25">
      <c r="A727" t="str">
        <f>"Ferrocenes: Ligands, Materials and Biomolecules"</f>
        <v>Ferrocenes: Ligands, Materials and Biomolecules</v>
      </c>
      <c r="B727" t="str">
        <f>"9780470035856"</f>
        <v>9780470035856</v>
      </c>
      <c r="C727">
        <v>98</v>
      </c>
      <c r="D727" t="str">
        <f t="shared" si="49"/>
        <v>USD</v>
      </c>
      <c r="E727" t="str">
        <f>"2008"</f>
        <v>2008</v>
      </c>
      <c r="F727" t="str">
        <f>"Stepnicka"</f>
        <v>Stepnicka</v>
      </c>
      <c r="G727" t="str">
        <f>"safirketab"</f>
        <v>safirketab</v>
      </c>
    </row>
    <row r="728" spans="1:7" x14ac:dyDescent="0.25">
      <c r="A728" t="str">
        <f>"Ferrocenes: Ligands, Materials and Biomolecules"</f>
        <v>Ferrocenes: Ligands, Materials and Biomolecules</v>
      </c>
      <c r="B728" t="str">
        <f>"9780470035856"</f>
        <v>9780470035856</v>
      </c>
      <c r="C728">
        <v>98</v>
      </c>
      <c r="D728" t="str">
        <f t="shared" si="49"/>
        <v>USD</v>
      </c>
      <c r="E728" t="str">
        <f>"2008"</f>
        <v>2008</v>
      </c>
      <c r="F728" t="str">
        <f>"Stepnicka"</f>
        <v>Stepnicka</v>
      </c>
      <c r="G728" t="str">
        <f>"avanddanesh"</f>
        <v>avanddanesh</v>
      </c>
    </row>
    <row r="729" spans="1:7" x14ac:dyDescent="0.25">
      <c r="A729" t="str">
        <f>"Fibrous Filter Media"</f>
        <v>Fibrous Filter Media</v>
      </c>
      <c r="B729" t="str">
        <f>"9780081005675"</f>
        <v>9780081005675</v>
      </c>
      <c r="C729">
        <v>238.5</v>
      </c>
      <c r="D729" t="str">
        <f t="shared" si="49"/>
        <v>USD</v>
      </c>
      <c r="E729" t="str">
        <f>"2017"</f>
        <v>2017</v>
      </c>
      <c r="F729" t="str">
        <f>"Brown and Cox"</f>
        <v>Brown and Cox</v>
      </c>
      <c r="G729" t="str">
        <f>"dehkadehketab"</f>
        <v>dehkadehketab</v>
      </c>
    </row>
    <row r="730" spans="1:7" x14ac:dyDescent="0.25">
      <c r="A730" t="str">
        <f>"Fiesers' Reagents for Organic Synthesis V23"</f>
        <v>Fiesers' Reagents for Organic Synthesis V23</v>
      </c>
      <c r="B730" t="str">
        <f>"9780471682431"</f>
        <v>9780471682431</v>
      </c>
      <c r="C730">
        <v>99</v>
      </c>
      <c r="D730" t="str">
        <f t="shared" si="49"/>
        <v>USD</v>
      </c>
      <c r="E730" t="str">
        <f>"2007"</f>
        <v>2007</v>
      </c>
      <c r="F730" t="str">
        <f>"Ho"</f>
        <v>Ho</v>
      </c>
      <c r="G730" t="str">
        <f>"safirketab"</f>
        <v>safirketab</v>
      </c>
    </row>
    <row r="731" spans="1:7" x14ac:dyDescent="0.25">
      <c r="A731" t="str">
        <f>"Fiesers' Reagents for Organic Synthesis, V 1-27 and Collective Index for V 1-22, Set"</f>
        <v>Fiesers' Reagents for Organic Synthesis, V 1-27 and Collective Index for V 1-22, Set</v>
      </c>
      <c r="B731" t="str">
        <f>"9781118528914"</f>
        <v>9781118528914</v>
      </c>
      <c r="C731">
        <v>2414.8000000000002</v>
      </c>
      <c r="D731" t="str">
        <f t="shared" si="49"/>
        <v>USD</v>
      </c>
      <c r="E731" t="str">
        <f>"2013"</f>
        <v>2013</v>
      </c>
      <c r="F731" t="str">
        <f>"Ho"</f>
        <v>Ho</v>
      </c>
      <c r="G731" t="str">
        <f>"avanddanesh"</f>
        <v>avanddanesh</v>
      </c>
    </row>
    <row r="732" spans="1:7" x14ac:dyDescent="0.25">
      <c r="A732" t="str">
        <f>"Fiesers' Reagents for Organic Synthesis, V 26"</f>
        <v>Fiesers' Reagents for Organic Synthesis, V 26</v>
      </c>
      <c r="B732" t="str">
        <f>"9780470587713"</f>
        <v>9780470587713</v>
      </c>
      <c r="C732">
        <v>68.400000000000006</v>
      </c>
      <c r="D732" t="str">
        <f t="shared" si="49"/>
        <v>USD</v>
      </c>
      <c r="E732" t="str">
        <f>"2011"</f>
        <v>2011</v>
      </c>
      <c r="F732" t="str">
        <f>"Ho"</f>
        <v>Ho</v>
      </c>
      <c r="G732" t="str">
        <f>"avanddanesh"</f>
        <v>avanddanesh</v>
      </c>
    </row>
    <row r="733" spans="1:7" x14ac:dyDescent="0.25">
      <c r="A733" t="str">
        <f>"Fiesers' Reagents for Organic Synthesis, V1-25, and Collective Index for Volumes 1-22, SET"</f>
        <v>Fiesers' Reagents for Organic Synthesis, V1-25, and Collective Index for Volumes 1-22, SET</v>
      </c>
      <c r="B733" t="str">
        <f>"9780470521113"</f>
        <v>9780470521113</v>
      </c>
      <c r="C733">
        <v>2250</v>
      </c>
      <c r="D733" t="str">
        <f t="shared" si="49"/>
        <v>USD</v>
      </c>
      <c r="E733" t="str">
        <f>"2010"</f>
        <v>2010</v>
      </c>
      <c r="F733" t="str">
        <f>"Ho"</f>
        <v>Ho</v>
      </c>
      <c r="G733" t="str">
        <f>"safirketab"</f>
        <v>safirketab</v>
      </c>
    </row>
    <row r="734" spans="1:7" x14ac:dyDescent="0.25">
      <c r="A734" t="str">
        <f>"Fiesers' Reagents for Organic Synthesis,V25"</f>
        <v>Fiesers' Reagents for Organic Synthesis,V25</v>
      </c>
      <c r="B734" t="str">
        <f>"9780470433751"</f>
        <v>9780470433751</v>
      </c>
      <c r="C734">
        <v>126</v>
      </c>
      <c r="D734" t="str">
        <f t="shared" si="49"/>
        <v>USD</v>
      </c>
      <c r="E734" t="str">
        <f>"2010"</f>
        <v>2010</v>
      </c>
      <c r="F734" t="str">
        <f>"Ho"</f>
        <v>Ho</v>
      </c>
      <c r="G734" t="str">
        <f>"safirketab"</f>
        <v>safirketab</v>
      </c>
    </row>
    <row r="735" spans="1:7" x14ac:dyDescent="0.25">
      <c r="A735" t="str">
        <f>"Fine Chemicals: The Industry and the Business"</f>
        <v>Fine Chemicals: The Industry and the Business</v>
      </c>
      <c r="B735" t="str">
        <f>"9780470050750"</f>
        <v>9780470050750</v>
      </c>
      <c r="C735">
        <v>72</v>
      </c>
      <c r="D735" t="str">
        <f t="shared" si="49"/>
        <v>USD</v>
      </c>
      <c r="E735" t="str">
        <f>"2007"</f>
        <v>2007</v>
      </c>
      <c r="F735" t="str">
        <f>"Pollak"</f>
        <v>Pollak</v>
      </c>
      <c r="G735" t="str">
        <f>"safirketab"</f>
        <v>safirketab</v>
      </c>
    </row>
    <row r="736" spans="1:7" x14ac:dyDescent="0.25">
      <c r="A736" t="str">
        <f>"Flow Chemistry2: Applications (De Gruyter Textbook)"</f>
        <v>Flow Chemistry2: Applications (De Gruyter Textbook)</v>
      </c>
      <c r="B736" t="str">
        <f>"9783110367072"</f>
        <v>9783110367072</v>
      </c>
      <c r="C736">
        <v>48</v>
      </c>
      <c r="D736" t="str">
        <f>"EUR"</f>
        <v>EUR</v>
      </c>
      <c r="E736" t="str">
        <f>"2014"</f>
        <v>2014</v>
      </c>
      <c r="F736" t="str">
        <f>"Volker Hessel(Edito"</f>
        <v>Volker Hessel(Edito</v>
      </c>
      <c r="G736" t="str">
        <f>"AsarBartar"</f>
        <v>AsarBartar</v>
      </c>
    </row>
    <row r="737" spans="1:7" x14ac:dyDescent="0.25">
      <c r="A737" t="str">
        <f>"Flows and Chemical Reactions"</f>
        <v>Flows and Chemical Reactions</v>
      </c>
      <c r="B737" t="str">
        <f>"9781848214255"</f>
        <v>9781848214255</v>
      </c>
      <c r="C737">
        <v>109.2</v>
      </c>
      <c r="D737" t="str">
        <f>"USD"</f>
        <v>USD</v>
      </c>
      <c r="E737" t="str">
        <f>"2012"</f>
        <v>2012</v>
      </c>
      <c r="F737" t="str">
        <f>"Prud'homme"</f>
        <v>Prud'homme</v>
      </c>
      <c r="G737" t="str">
        <f>"avanddanesh"</f>
        <v>avanddanesh</v>
      </c>
    </row>
    <row r="738" spans="1:7" x14ac:dyDescent="0.25">
      <c r="A738" t="str">
        <f>"FLUID STERILIZATION BY FILTRATION"</f>
        <v>FLUID STERILIZATION BY FILTRATION</v>
      </c>
      <c r="B738" t="str">
        <f>"9780849319778"</f>
        <v>9780849319778</v>
      </c>
      <c r="C738">
        <v>178.5</v>
      </c>
      <c r="D738" t="str">
        <f>"USD"</f>
        <v>USD</v>
      </c>
      <c r="E738" t="str">
        <f>"2003"</f>
        <v>2003</v>
      </c>
      <c r="F738" t="str">
        <f>"Peter R. Johnston"</f>
        <v>Peter R. Johnston</v>
      </c>
      <c r="G738" t="str">
        <f>"safirketab"</f>
        <v>safirketab</v>
      </c>
    </row>
    <row r="739" spans="1:7" x14ac:dyDescent="0.25">
      <c r="A739" t="str">
        <f>"Fluids, Colloids and Soft Materials: An Introduction to Soft Matter Physics"</f>
        <v>Fluids, Colloids and Soft Materials: An Introduction to Soft Matter Physics</v>
      </c>
      <c r="B739" t="str">
        <f>"9781118065624"</f>
        <v>9781118065624</v>
      </c>
      <c r="C739">
        <v>140.30000000000001</v>
      </c>
      <c r="D739" t="str">
        <f>"USD"</f>
        <v>USD</v>
      </c>
      <c r="E739" t="str">
        <f>"2016"</f>
        <v>2016</v>
      </c>
      <c r="F739" t="str">
        <f>"Fernandez-Nieves"</f>
        <v>Fernandez-Nieves</v>
      </c>
      <c r="G739" t="str">
        <f>"avanddanesh"</f>
        <v>avanddanesh</v>
      </c>
    </row>
    <row r="740" spans="1:7" x14ac:dyDescent="0.25">
      <c r="A740" t="str">
        <f>"Fluorescence Microscopy: From Principles to Biological Applications,2e"</f>
        <v>Fluorescence Microscopy: From Principles to Biological Applications,2e</v>
      </c>
      <c r="B740" t="str">
        <f>"9783527338375"</f>
        <v>9783527338375</v>
      </c>
      <c r="C740">
        <v>184.5</v>
      </c>
      <c r="D740" t="str">
        <f>"USD"</f>
        <v>USD</v>
      </c>
      <c r="E740" t="str">
        <f>"2017"</f>
        <v>2017</v>
      </c>
      <c r="F740" t="str">
        <f>"Kubitscheck"</f>
        <v>Kubitscheck</v>
      </c>
      <c r="G740" t="str">
        <f>"avanddanesh"</f>
        <v>avanddanesh</v>
      </c>
    </row>
    <row r="741" spans="1:7" x14ac:dyDescent="0.25">
      <c r="A741" t="str">
        <f>"Fluorescence Studies of Polymer Containing Systems"</f>
        <v>Fluorescence Studies of Polymer Containing Systems</v>
      </c>
      <c r="B741" t="str">
        <f>"9783319267869"</f>
        <v>9783319267869</v>
      </c>
      <c r="C741">
        <v>251.99</v>
      </c>
      <c r="D741" t="str">
        <f>"EUR"</f>
        <v>EUR</v>
      </c>
      <c r="E741" t="str">
        <f>"2016"</f>
        <v>2016</v>
      </c>
      <c r="F741" t="str">
        <f>"ProchÃ¡zka"</f>
        <v>ProchÃ¡zka</v>
      </c>
      <c r="G741" t="str">
        <f>"negarestanabi"</f>
        <v>negarestanabi</v>
      </c>
    </row>
    <row r="742" spans="1:7" x14ac:dyDescent="0.25">
      <c r="A742" t="str">
        <f>"Fluorescent Analogs of Biomolecular Building Blocks: Design and Applications"</f>
        <v>Fluorescent Analogs of Biomolecular Building Blocks: Design and Applications</v>
      </c>
      <c r="B742" t="str">
        <f>"9781118175866"</f>
        <v>9781118175866</v>
      </c>
      <c r="C742">
        <v>148.80000000000001</v>
      </c>
      <c r="D742" t="str">
        <f t="shared" ref="D742:D747" si="50">"USD"</f>
        <v>USD</v>
      </c>
      <c r="E742" t="str">
        <f>"2016"</f>
        <v>2016</v>
      </c>
      <c r="F742" t="str">
        <f>"Wilhelmsson"</f>
        <v>Wilhelmsson</v>
      </c>
      <c r="G742" t="str">
        <f>"avanddanesh"</f>
        <v>avanddanesh</v>
      </c>
    </row>
    <row r="743" spans="1:7" x14ac:dyDescent="0.25">
      <c r="A743" t="str">
        <f>"Fluorinated Heterocyclic Compounds - Synthesis, Chemistry, and Applications"</f>
        <v>Fluorinated Heterocyclic Compounds - Synthesis, Chemistry, and Applications</v>
      </c>
      <c r="B743" t="str">
        <f>"9780470452110"</f>
        <v>9780470452110</v>
      </c>
      <c r="C743">
        <v>64</v>
      </c>
      <c r="D743" t="str">
        <f t="shared" si="50"/>
        <v>USD</v>
      </c>
      <c r="E743" t="str">
        <f>"2009"</f>
        <v>2009</v>
      </c>
      <c r="F743" t="str">
        <f>"Petrov"</f>
        <v>Petrov</v>
      </c>
      <c r="G743" t="str">
        <f>"safirketab"</f>
        <v>safirketab</v>
      </c>
    </row>
    <row r="744" spans="1:7" x14ac:dyDescent="0.25">
      <c r="A744" t="str">
        <f>"Fluorinated Heterocyclic Compounds: Synthesis, Chemistry, and Applications"</f>
        <v>Fluorinated Heterocyclic Compounds: Synthesis, Chemistry, and Applications</v>
      </c>
      <c r="B744" t="str">
        <f>"9780470452110"</f>
        <v>9780470452110</v>
      </c>
      <c r="C744">
        <v>64</v>
      </c>
      <c r="D744" t="str">
        <f t="shared" si="50"/>
        <v>USD</v>
      </c>
      <c r="E744" t="str">
        <f>"2009"</f>
        <v>2009</v>
      </c>
      <c r="F744" t="str">
        <f>"Petrov"</f>
        <v>Petrov</v>
      </c>
      <c r="G744" t="str">
        <f>"avanddanesh"</f>
        <v>avanddanesh</v>
      </c>
    </row>
    <row r="745" spans="1:7" x14ac:dyDescent="0.25">
      <c r="A745" t="str">
        <f>"Fluorine in Medicinal Chemistry and Chemical Biology"</f>
        <v>Fluorine in Medicinal Chemistry and Chemical Biology</v>
      </c>
      <c r="B745" t="str">
        <f>"9781405167208"</f>
        <v>9781405167208</v>
      </c>
      <c r="C745">
        <v>82</v>
      </c>
      <c r="D745" t="str">
        <f t="shared" si="50"/>
        <v>USD</v>
      </c>
      <c r="E745" t="str">
        <f>"2009"</f>
        <v>2009</v>
      </c>
      <c r="F745" t="str">
        <f>"Ojima"</f>
        <v>Ojima</v>
      </c>
      <c r="G745" t="str">
        <f>"avanddanesh"</f>
        <v>avanddanesh</v>
      </c>
    </row>
    <row r="746" spans="1:7" x14ac:dyDescent="0.25">
      <c r="A746" t="str">
        <f>"Foldamers: Structure, Properties, and Applications"</f>
        <v>Foldamers: Structure, Properties, and Applications</v>
      </c>
      <c r="B746" t="str">
        <f>"9783527315635"</f>
        <v>9783527315635</v>
      </c>
      <c r="C746">
        <v>121.2</v>
      </c>
      <c r="D746" t="str">
        <f t="shared" si="50"/>
        <v>USD</v>
      </c>
      <c r="E746" t="str">
        <f>"2007"</f>
        <v>2007</v>
      </c>
      <c r="F746" t="str">
        <f>"Hecht"</f>
        <v>Hecht</v>
      </c>
      <c r="G746" t="str">
        <f>"avanddanesh"</f>
        <v>avanddanesh</v>
      </c>
    </row>
    <row r="747" spans="1:7" x14ac:dyDescent="0.25">
      <c r="A747" t="str">
        <f>"Foldamers: Structure, Properties, and Applications"</f>
        <v>Foldamers: Structure, Properties, and Applications</v>
      </c>
      <c r="B747" t="str">
        <f>"9783527315635"</f>
        <v>9783527315635</v>
      </c>
      <c r="C747">
        <v>121.2</v>
      </c>
      <c r="D747" t="str">
        <f t="shared" si="50"/>
        <v>USD</v>
      </c>
      <c r="E747" t="str">
        <f>"2007"</f>
        <v>2007</v>
      </c>
      <c r="F747" t="str">
        <f>"Hecht"</f>
        <v>Hecht</v>
      </c>
      <c r="G747" t="str">
        <f>"safirketab"</f>
        <v>safirketab</v>
      </c>
    </row>
    <row r="748" spans="1:7" x14ac:dyDescent="0.25">
      <c r="A748" t="str">
        <f>"Food : The Chemistry of its Components"</f>
        <v>Food : The Chemistry of its Components</v>
      </c>
      <c r="B748" t="str">
        <f>"9781849738804"</f>
        <v>9781849738804</v>
      </c>
      <c r="C748">
        <v>20.8</v>
      </c>
      <c r="D748" t="str">
        <f>"GBP"</f>
        <v>GBP</v>
      </c>
      <c r="E748" t="str">
        <f>"2016"</f>
        <v>2016</v>
      </c>
      <c r="F748" t="str">
        <f>"Coultate"</f>
        <v>Coultate</v>
      </c>
      <c r="G748" t="str">
        <f>"arzinbooks"</f>
        <v>arzinbooks</v>
      </c>
    </row>
    <row r="749" spans="1:7" x14ac:dyDescent="0.25">
      <c r="A749" t="str">
        <f>"Food Authentication: Management, Analysis and Regulation"</f>
        <v>Food Authentication: Management, Analysis and Regulation</v>
      </c>
      <c r="B749" t="str">
        <f>"9781118810262"</f>
        <v>9781118810262</v>
      </c>
      <c r="C749">
        <v>171</v>
      </c>
      <c r="D749" t="str">
        <f t="shared" ref="D749:D761" si="51">"USD"</f>
        <v>USD</v>
      </c>
      <c r="E749" t="str">
        <f>"2017"</f>
        <v>2017</v>
      </c>
      <c r="F749" t="str">
        <f>"Georgiou"</f>
        <v>Georgiou</v>
      </c>
      <c r="G749" t="str">
        <f>"avanddanesh"</f>
        <v>avanddanesh</v>
      </c>
    </row>
    <row r="750" spans="1:7" x14ac:dyDescent="0.25">
      <c r="A750" t="str">
        <f>"Food, Energy, and Water, The Chemistry Connection"</f>
        <v>Food, Energy, and Water, The Chemistry Connection</v>
      </c>
      <c r="B750" t="str">
        <f>"9780128002117"</f>
        <v>9780128002117</v>
      </c>
      <c r="C750">
        <v>135</v>
      </c>
      <c r="D750" t="str">
        <f t="shared" si="51"/>
        <v>USD</v>
      </c>
      <c r="E750" t="str">
        <f>"2015"</f>
        <v>2015</v>
      </c>
      <c r="F750" t="str">
        <f>"Ahuja"</f>
        <v>Ahuja</v>
      </c>
      <c r="G750" t="str">
        <f>"arang"</f>
        <v>arang</v>
      </c>
    </row>
    <row r="751" spans="1:7" x14ac:dyDescent="0.25">
      <c r="A751" t="str">
        <f>"Foodomics: Advanced Mass Spectrometry in Modern Food Science and Nutrition"</f>
        <v>Foodomics: Advanced Mass Spectrometry in Modern Food Science and Nutrition</v>
      </c>
      <c r="B751" t="str">
        <f>"9781118169452"</f>
        <v>9781118169452</v>
      </c>
      <c r="C751">
        <v>89</v>
      </c>
      <c r="D751" t="str">
        <f t="shared" si="51"/>
        <v>USD</v>
      </c>
      <c r="E751" t="str">
        <f>"2013"</f>
        <v>2013</v>
      </c>
      <c r="F751" t="str">
        <f>"Cifuentes"</f>
        <v>Cifuentes</v>
      </c>
      <c r="G751" t="str">
        <f t="shared" ref="G751:G761" si="52">"avanddanesh"</f>
        <v>avanddanesh</v>
      </c>
    </row>
    <row r="752" spans="1:7" x14ac:dyDescent="0.25">
      <c r="A752" t="str">
        <f>"Forensic Anthropology: Theoretical Framework and Scientific Basis"</f>
        <v>Forensic Anthropology: Theoretical Framework and Scientific Basis</v>
      </c>
      <c r="B752" t="str">
        <f>"9781119226383"</f>
        <v>9781119226383</v>
      </c>
      <c r="C752">
        <v>126</v>
      </c>
      <c r="D752" t="str">
        <f t="shared" si="51"/>
        <v>USD</v>
      </c>
      <c r="E752" t="str">
        <f>"2018"</f>
        <v>2018</v>
      </c>
      <c r="F752" t="str">
        <f>"Boyd"</f>
        <v>Boyd</v>
      </c>
      <c r="G752" t="str">
        <f t="shared" si="52"/>
        <v>avanddanesh</v>
      </c>
    </row>
    <row r="753" spans="1:7" x14ac:dyDescent="0.25">
      <c r="A753" t="str">
        <f>"Forensic Chemistry Handbook"</f>
        <v>Forensic Chemistry Handbook</v>
      </c>
      <c r="B753" t="str">
        <f>"9780471739548"</f>
        <v>9780471739548</v>
      </c>
      <c r="C753">
        <v>82.2</v>
      </c>
      <c r="D753" t="str">
        <f t="shared" si="51"/>
        <v>USD</v>
      </c>
      <c r="E753" t="str">
        <f>"2012"</f>
        <v>2012</v>
      </c>
      <c r="F753" t="str">
        <f>"Kobilinsky"</f>
        <v>Kobilinsky</v>
      </c>
      <c r="G753" t="str">
        <f t="shared" si="52"/>
        <v>avanddanesh</v>
      </c>
    </row>
    <row r="754" spans="1:7" x14ac:dyDescent="0.25">
      <c r="A754" t="str">
        <f>"Forensic Chemistry: Fundamentals and Applications"</f>
        <v>Forensic Chemistry: Fundamentals and Applications</v>
      </c>
      <c r="B754" t="str">
        <f>"9781118897720"</f>
        <v>9781118897720</v>
      </c>
      <c r="C754">
        <v>68</v>
      </c>
      <c r="D754" t="str">
        <f t="shared" si="51"/>
        <v>USD</v>
      </c>
      <c r="E754" t="str">
        <f>"2015"</f>
        <v>2015</v>
      </c>
      <c r="F754" t="str">
        <f>"Siegel"</f>
        <v>Siegel</v>
      </c>
      <c r="G754" t="str">
        <f t="shared" si="52"/>
        <v>avanddanesh</v>
      </c>
    </row>
    <row r="755" spans="1:7" x14ac:dyDescent="0.25">
      <c r="A755" t="str">
        <f>"Forensic Evidence in Court: Evaluation and Scientific Opinion"</f>
        <v>Forensic Evidence in Court: Evaluation and Scientific Opinion</v>
      </c>
      <c r="B755" t="str">
        <f>"9781119054412"</f>
        <v>9781119054412</v>
      </c>
      <c r="C755">
        <v>55.3</v>
      </c>
      <c r="D755" t="str">
        <f t="shared" si="51"/>
        <v>USD</v>
      </c>
      <c r="E755" t="str">
        <f>"2016"</f>
        <v>2016</v>
      </c>
      <c r="F755" t="str">
        <f>"Adam"</f>
        <v>Adam</v>
      </c>
      <c r="G755" t="str">
        <f t="shared" si="52"/>
        <v>avanddanesh</v>
      </c>
    </row>
    <row r="756" spans="1:7" x14ac:dyDescent="0.25">
      <c r="A756" t="str">
        <f>"Forensic Microbiology"</f>
        <v>Forensic Microbiology</v>
      </c>
      <c r="B756" t="str">
        <f>"9781119062554"</f>
        <v>9781119062554</v>
      </c>
      <c r="C756">
        <v>108</v>
      </c>
      <c r="D756" t="str">
        <f t="shared" si="51"/>
        <v>USD</v>
      </c>
      <c r="E756" t="str">
        <f>"2017"</f>
        <v>2017</v>
      </c>
      <c r="F756" t="str">
        <f>"Carter"</f>
        <v>Carter</v>
      </c>
      <c r="G756" t="str">
        <f t="shared" si="52"/>
        <v>avanddanesh</v>
      </c>
    </row>
    <row r="757" spans="1:7" x14ac:dyDescent="0.25">
      <c r="A757" t="str">
        <f>"Forensic Odontology: Principles and Practice"</f>
        <v>Forensic Odontology: Principles and Practice</v>
      </c>
      <c r="B757" t="str">
        <f>"9781118864449"</f>
        <v>9781118864449</v>
      </c>
      <c r="C757">
        <v>106.3</v>
      </c>
      <c r="D757" t="str">
        <f t="shared" si="51"/>
        <v>USD</v>
      </c>
      <c r="E757" t="str">
        <f>"2016"</f>
        <v>2016</v>
      </c>
      <c r="F757" t="str">
        <f>"Taylor"</f>
        <v>Taylor</v>
      </c>
      <c r="G757" t="str">
        <f t="shared" si="52"/>
        <v>avanddanesh</v>
      </c>
    </row>
    <row r="758" spans="1:7" x14ac:dyDescent="0.25">
      <c r="A758" t="str">
        <f>"Forensic Photography: Practitioner's Guide"</f>
        <v>Forensic Photography: Practitioner's Guide</v>
      </c>
      <c r="B758" t="str">
        <f>"9781119975823"</f>
        <v>9781119975823</v>
      </c>
      <c r="C758">
        <v>71.3</v>
      </c>
      <c r="D758" t="str">
        <f t="shared" si="51"/>
        <v>USD</v>
      </c>
      <c r="E758" t="str">
        <f>"2014"</f>
        <v>2014</v>
      </c>
      <c r="F758" t="str">
        <f>"Marsh"</f>
        <v>Marsh</v>
      </c>
      <c r="G758" t="str">
        <f t="shared" si="52"/>
        <v>avanddanesh</v>
      </c>
    </row>
    <row r="759" spans="1:7" x14ac:dyDescent="0.25">
      <c r="A759" t="str">
        <f>"Forensic Radio Survey Techniques for Cell Site Analysis"</f>
        <v>Forensic Radio Survey Techniques for Cell Site Analysis</v>
      </c>
      <c r="B759" t="str">
        <f>"9781118925737"</f>
        <v>9781118925737</v>
      </c>
      <c r="C759">
        <v>84</v>
      </c>
      <c r="D759" t="str">
        <f t="shared" si="51"/>
        <v>USD</v>
      </c>
      <c r="E759" t="str">
        <f>"2015"</f>
        <v>2015</v>
      </c>
      <c r="F759" t="str">
        <f>"Hoy"</f>
        <v>Hoy</v>
      </c>
      <c r="G759" t="str">
        <f t="shared" si="52"/>
        <v>avanddanesh</v>
      </c>
    </row>
    <row r="760" spans="1:7" x14ac:dyDescent="0.25">
      <c r="A760" t="str">
        <f>"Forensic Science Education and Training"</f>
        <v>Forensic Science Education and Training</v>
      </c>
      <c r="B760" t="str">
        <f>"9781118689233"</f>
        <v>9781118689233</v>
      </c>
      <c r="C760">
        <v>85.5</v>
      </c>
      <c r="D760" t="str">
        <f t="shared" si="51"/>
        <v>USD</v>
      </c>
      <c r="E760" t="str">
        <f>"2017"</f>
        <v>2017</v>
      </c>
      <c r="F760" t="str">
        <f>"Williams"</f>
        <v>Williams</v>
      </c>
      <c r="G760" t="str">
        <f t="shared" si="52"/>
        <v>avanddanesh</v>
      </c>
    </row>
    <row r="761" spans="1:7" x14ac:dyDescent="0.25">
      <c r="A761" t="str">
        <f>"Forensic Science: A Multidisciplinary Approach"</f>
        <v>Forensic Science: A Multidisciplinary Approach</v>
      </c>
      <c r="B761" t="str">
        <f>"9783527338948"</f>
        <v>9783527338948</v>
      </c>
      <c r="C761">
        <v>148.80000000000001</v>
      </c>
      <c r="D761" t="str">
        <f t="shared" si="51"/>
        <v>USD</v>
      </c>
      <c r="E761" t="str">
        <f>"2016"</f>
        <v>2016</v>
      </c>
      <c r="F761" t="str">
        <f>"Katz"</f>
        <v>Katz</v>
      </c>
      <c r="G761" t="str">
        <f t="shared" si="52"/>
        <v>avanddanesh</v>
      </c>
    </row>
    <row r="762" spans="1:7" x14ac:dyDescent="0.25">
      <c r="A762" t="str">
        <f>"Formulations: In Cosmetic and Personal Care (de Gruyter Textbook)"</f>
        <v>Formulations: In Cosmetic and Personal Care (de Gruyter Textbook)</v>
      </c>
      <c r="B762" t="str">
        <f>"9783110452365"</f>
        <v>9783110452365</v>
      </c>
      <c r="C762">
        <v>51</v>
      </c>
      <c r="D762" t="str">
        <f>"EUR"</f>
        <v>EUR</v>
      </c>
      <c r="E762" t="str">
        <f>"2016"</f>
        <v>2016</v>
      </c>
      <c r="F762" t="str">
        <f>"Tharwat F Tadros"</f>
        <v>Tharwat F Tadros</v>
      </c>
      <c r="G762" t="str">
        <f>"AsarBartar"</f>
        <v>AsarBartar</v>
      </c>
    </row>
    <row r="763" spans="1:7" x14ac:dyDescent="0.25">
      <c r="A763" t="str">
        <f>"Fortified Foods with Vitamins: Analytical Concepts to Assure Better and Safer Products"</f>
        <v>Fortified Foods with Vitamins: Analytical Concepts to Assure Better and Safer Products</v>
      </c>
      <c r="B763" t="str">
        <f>"9783527330782"</f>
        <v>9783527330782</v>
      </c>
      <c r="C763">
        <v>105</v>
      </c>
      <c r="D763" t="str">
        <f>"USD"</f>
        <v>USD</v>
      </c>
      <c r="E763" t="str">
        <f>"2011"</f>
        <v>2011</v>
      </c>
      <c r="F763" t="str">
        <f>"Rychlik"</f>
        <v>Rychlik</v>
      </c>
      <c r="G763" t="str">
        <f>"safirketab"</f>
        <v>safirketab</v>
      </c>
    </row>
    <row r="764" spans="1:7" x14ac:dyDescent="0.25">
      <c r="A764" t="str">
        <f>"Foundations of Analytical Chemistry: A Teachingâ€“Learning Approach"</f>
        <v>Foundations of Analytical Chemistry: A Teachingâ€“Learning Approach</v>
      </c>
      <c r="B764" t="str">
        <f>"9783319628714"</f>
        <v>9783319628714</v>
      </c>
      <c r="C764">
        <v>58.49</v>
      </c>
      <c r="D764" t="str">
        <f>"EUR"</f>
        <v>EUR</v>
      </c>
      <c r="E764" t="str">
        <f>"2018"</f>
        <v>2018</v>
      </c>
      <c r="F764" t="str">
        <f>"ValcÃ¡rcel Cases"</f>
        <v>ValcÃ¡rcel Cases</v>
      </c>
      <c r="G764" t="str">
        <f>"negarestanabi"</f>
        <v>negarestanabi</v>
      </c>
    </row>
    <row r="765" spans="1:7" x14ac:dyDescent="0.25">
      <c r="A765" t="str">
        <f>"Foundations of Forensic Document Analysis: Theory and Practice"</f>
        <v>Foundations of Forensic Document Analysis: Theory and Practice</v>
      </c>
      <c r="B765" t="str">
        <f>"9781118729939"</f>
        <v>9781118729939</v>
      </c>
      <c r="C765">
        <v>48</v>
      </c>
      <c r="D765" t="str">
        <f t="shared" ref="D765:D774" si="53">"USD"</f>
        <v>USD</v>
      </c>
      <c r="E765" t="str">
        <f>"2015"</f>
        <v>2015</v>
      </c>
      <c r="F765" t="str">
        <f>"Allen"</f>
        <v>Allen</v>
      </c>
      <c r="G765" t="str">
        <f>"avanddanesh"</f>
        <v>avanddanesh</v>
      </c>
    </row>
    <row r="766" spans="1:7" x14ac:dyDescent="0.25">
      <c r="A766" t="str">
        <f>"Foundations of Organic Chemistry: Unity and Diversity of Structures, Pathways, and Reactions"</f>
        <v>Foundations of Organic Chemistry: Unity and Diversity of Structures, Pathways, and Reactions</v>
      </c>
      <c r="B766" t="str">
        <f>"9780470479087"</f>
        <v>9780470479087</v>
      </c>
      <c r="C766">
        <v>66</v>
      </c>
      <c r="D766" t="str">
        <f t="shared" si="53"/>
        <v>USD</v>
      </c>
      <c r="E766" t="str">
        <f>"2011"</f>
        <v>2011</v>
      </c>
      <c r="F766" t="str">
        <f>"Dalton"</f>
        <v>Dalton</v>
      </c>
      <c r="G766" t="str">
        <f>"avanddanesh"</f>
        <v>avanddanesh</v>
      </c>
    </row>
    <row r="767" spans="1:7" x14ac:dyDescent="0.25">
      <c r="A767" t="str">
        <f>"Fractional Trigonometry: With Applications to Fractional Differential Equations and Science"</f>
        <v>Fractional Trigonometry: With Applications to Fractional Differential Equations and Science</v>
      </c>
      <c r="B767" t="str">
        <f>"9781119139409"</f>
        <v>9781119139409</v>
      </c>
      <c r="C767">
        <v>114.8</v>
      </c>
      <c r="D767" t="str">
        <f t="shared" si="53"/>
        <v>USD</v>
      </c>
      <c r="E767" t="str">
        <f>"2016"</f>
        <v>2016</v>
      </c>
      <c r="F767" t="str">
        <f>"Lorenzo"</f>
        <v>Lorenzo</v>
      </c>
      <c r="G767" t="str">
        <f>"avanddanesh"</f>
        <v>avanddanesh</v>
      </c>
    </row>
    <row r="768" spans="1:7" x14ac:dyDescent="0.25">
      <c r="A768" t="str">
        <f>"Fragmentation: Toward Accurate Calculations on Complex Molecular Systems"</f>
        <v>Fragmentation: Toward Accurate Calculations on Complex Molecular Systems</v>
      </c>
      <c r="B768" t="str">
        <f>"9781119129240"</f>
        <v>9781119129240</v>
      </c>
      <c r="C768">
        <v>135</v>
      </c>
      <c r="D768" t="str">
        <f t="shared" si="53"/>
        <v>USD</v>
      </c>
      <c r="E768" t="str">
        <f>"2017"</f>
        <v>2017</v>
      </c>
      <c r="F768" t="str">
        <f>"Gordon"</f>
        <v>Gordon</v>
      </c>
      <c r="G768" t="str">
        <f>"avanddanesh"</f>
        <v>avanddanesh</v>
      </c>
    </row>
    <row r="769" spans="1:7" x14ac:dyDescent="0.25">
      <c r="A769" t="str">
        <f>"Fragment-based Approaches in Drug Discovery"</f>
        <v>Fragment-based Approaches in Drug Discovery</v>
      </c>
      <c r="B769" t="str">
        <f>"9783527312917"</f>
        <v>9783527312917</v>
      </c>
      <c r="C769">
        <v>135</v>
      </c>
      <c r="D769" t="str">
        <f t="shared" si="53"/>
        <v>USD</v>
      </c>
      <c r="E769" t="str">
        <f>"2006"</f>
        <v>2006</v>
      </c>
      <c r="F769" t="str">
        <f>"Jahnke-Chemistry"</f>
        <v>Jahnke-Chemistry</v>
      </c>
      <c r="G769" t="str">
        <f>"safirketab"</f>
        <v>safirketab</v>
      </c>
    </row>
    <row r="770" spans="1:7" x14ac:dyDescent="0.25">
      <c r="A770" t="str">
        <f>"Fragment-based Drug Discovery: Lessons and Outlook"</f>
        <v>Fragment-based Drug Discovery: Lessons and Outlook</v>
      </c>
      <c r="B770" t="str">
        <f>"9783527337750"</f>
        <v>9783527337750</v>
      </c>
      <c r="C770">
        <v>174.3</v>
      </c>
      <c r="D770" t="str">
        <f t="shared" si="53"/>
        <v>USD</v>
      </c>
      <c r="E770" t="str">
        <f>"2016"</f>
        <v>2016</v>
      </c>
      <c r="F770" t="str">
        <f>"Erlanson"</f>
        <v>Erlanson</v>
      </c>
      <c r="G770" t="str">
        <f>"avanddanesh"</f>
        <v>avanddanesh</v>
      </c>
    </row>
    <row r="771" spans="1:7" x14ac:dyDescent="0.25">
      <c r="A771" t="str">
        <f>"From Biosynthesis to Total Synthesis: Strategies and Tactics for Natural Products"</f>
        <v>From Biosynthesis to Total Synthesis: Strategies and Tactics for Natural Products</v>
      </c>
      <c r="B771" t="str">
        <f>"9781118751732"</f>
        <v>9781118751732</v>
      </c>
      <c r="C771">
        <v>165.8</v>
      </c>
      <c r="D771" t="str">
        <f t="shared" si="53"/>
        <v>USD</v>
      </c>
      <c r="E771" t="str">
        <f>"2016"</f>
        <v>2016</v>
      </c>
      <c r="F771" t="str">
        <f>"Zografos"</f>
        <v>Zografos</v>
      </c>
      <c r="G771" t="str">
        <f>"avanddanesh"</f>
        <v>avanddanesh</v>
      </c>
    </row>
    <row r="772" spans="1:7" x14ac:dyDescent="0.25">
      <c r="A772" t="str">
        <f>"From Non-Covalent Assemblies to Molecular Machines"</f>
        <v>From Non-Covalent Assemblies to Molecular Machines</v>
      </c>
      <c r="B772" t="str">
        <f>"9783527322770"</f>
        <v>9783527322770</v>
      </c>
      <c r="C772">
        <v>89.6</v>
      </c>
      <c r="D772" t="str">
        <f t="shared" si="53"/>
        <v>USD</v>
      </c>
      <c r="E772" t="str">
        <f>"2010"</f>
        <v>2010</v>
      </c>
      <c r="F772" t="str">
        <f>"Sauvage"</f>
        <v>Sauvage</v>
      </c>
      <c r="G772" t="str">
        <f>"avanddanesh"</f>
        <v>avanddanesh</v>
      </c>
    </row>
    <row r="773" spans="1:7" x14ac:dyDescent="0.25">
      <c r="A773" t="str">
        <f>"Frontiers in Crystal Engineering"</f>
        <v>Frontiers in Crystal Engineering</v>
      </c>
      <c r="B773" t="str">
        <f>"9780470022580"</f>
        <v>9780470022580</v>
      </c>
      <c r="C773">
        <v>102</v>
      </c>
      <c r="D773" t="str">
        <f t="shared" si="53"/>
        <v>USD</v>
      </c>
      <c r="E773" t="str">
        <f>"2006"</f>
        <v>2006</v>
      </c>
      <c r="F773" t="str">
        <f>"Solid State Chemistr"</f>
        <v>Solid State Chemistr</v>
      </c>
      <c r="G773" t="str">
        <f>"safirketab"</f>
        <v>safirketab</v>
      </c>
    </row>
    <row r="774" spans="1:7" x14ac:dyDescent="0.25">
      <c r="A774" t="str">
        <f>"Frontiers in Crystal Engineering"</f>
        <v>Frontiers in Crystal Engineering</v>
      </c>
      <c r="B774" t="str">
        <f>"9780470022580"</f>
        <v>9780470022580</v>
      </c>
      <c r="C774">
        <v>102</v>
      </c>
      <c r="D774" t="str">
        <f t="shared" si="53"/>
        <v>USD</v>
      </c>
      <c r="E774" t="str">
        <f>"2005"</f>
        <v>2005</v>
      </c>
      <c r="F774" t="str">
        <f>"Tiekink"</f>
        <v>Tiekink</v>
      </c>
      <c r="G774" t="str">
        <f>"avanddanesh"</f>
        <v>avanddanesh</v>
      </c>
    </row>
    <row r="775" spans="1:7" x14ac:dyDescent="0.25">
      <c r="A775" t="str">
        <f>"Frontiers of Quantum Chemistry"</f>
        <v>Frontiers of Quantum Chemistry</v>
      </c>
      <c r="B775" t="str">
        <f>"9789811056505"</f>
        <v>9789811056505</v>
      </c>
      <c r="C775">
        <v>161.99</v>
      </c>
      <c r="D775" t="str">
        <f>"EUR"</f>
        <v>EUR</v>
      </c>
      <c r="E775" t="str">
        <f>"2018"</f>
        <v>2018</v>
      </c>
      <c r="F775" t="str">
        <f>"WÃ³jcik"</f>
        <v>WÃ³jcik</v>
      </c>
      <c r="G775" t="str">
        <f>"negarestanabi"</f>
        <v>negarestanabi</v>
      </c>
    </row>
    <row r="776" spans="1:7" x14ac:dyDescent="0.25">
      <c r="A776" t="str">
        <f>"Frontiers of Surface-Enhanced Raman Scattering: Single Nanoparticles and Single Cells"</f>
        <v>Frontiers of Surface-Enhanced Raman Scattering: Single Nanoparticles and Single Cells</v>
      </c>
      <c r="B776" t="str">
        <f>"9781118359020"</f>
        <v>9781118359020</v>
      </c>
      <c r="C776">
        <v>105</v>
      </c>
      <c r="D776" t="str">
        <f>"USD"</f>
        <v>USD</v>
      </c>
      <c r="E776" t="str">
        <f>"2014"</f>
        <v>2014</v>
      </c>
      <c r="F776" t="str">
        <f>"Ozaki"</f>
        <v>Ozaki</v>
      </c>
      <c r="G776" t="str">
        <f>"avanddanesh"</f>
        <v>avanddanesh</v>
      </c>
    </row>
    <row r="777" spans="1:7" x14ac:dyDescent="0.25">
      <c r="A777" t="str">
        <f>"FRYING OF FOOD: OXIDATION, NUTRIENT AND NON-NUTRIENT ANTIOXIDANTS, BIOLOGICALLY ACTIVE COMPOUNDS AND HIGH TEMPERATURES"</f>
        <v>FRYING OF FOOD: OXIDATION, NUTRIENT AND NON-NUTRIENT ANTIOXIDANTS, BIOLOGICALLY ACTIVE COMPOUNDS AND HIGH TEMPERATURES</v>
      </c>
      <c r="B777" t="str">
        <f>"9781439806821"</f>
        <v>9781439806821</v>
      </c>
      <c r="C777">
        <v>32.4</v>
      </c>
      <c r="D777" t="str">
        <f>"GBP"</f>
        <v>GBP</v>
      </c>
      <c r="E777" t="str">
        <f>"2011"</f>
        <v>2011</v>
      </c>
      <c r="F777" t="str">
        <f>"IBRAHIM ELMADFA(EDI"</f>
        <v>IBRAHIM ELMADFA(EDI</v>
      </c>
      <c r="G777" t="str">
        <f>"AsarBartar"</f>
        <v>AsarBartar</v>
      </c>
    </row>
    <row r="778" spans="1:7" x14ac:dyDescent="0.25">
      <c r="A778" t="str">
        <f>"Fuel and Combustion Systems Safety: What you don't know can kill you!"</f>
        <v>Fuel and Combustion Systems Safety: What you don't know can kill you!</v>
      </c>
      <c r="B778" t="str">
        <f>"9780470533604"</f>
        <v>9780470533604</v>
      </c>
      <c r="C778">
        <v>72</v>
      </c>
      <c r="D778" t="str">
        <f t="shared" ref="D778:D783" si="54">"USD"</f>
        <v>USD</v>
      </c>
      <c r="E778" t="str">
        <f>"2014"</f>
        <v>2014</v>
      </c>
      <c r="F778" t="str">
        <f>"Puskar"</f>
        <v>Puskar</v>
      </c>
      <c r="G778" t="str">
        <f>"avanddanesh"</f>
        <v>avanddanesh</v>
      </c>
    </row>
    <row r="779" spans="1:7" x14ac:dyDescent="0.25">
      <c r="A779" t="str">
        <f>"Fuels, Chemicals and Materials from the Oceans and Aquatic Sources"</f>
        <v>Fuels, Chemicals and Materials from the Oceans and Aquatic Sources</v>
      </c>
      <c r="B779" t="str">
        <f>"9781119117162"</f>
        <v>9781119117162</v>
      </c>
      <c r="C779">
        <v>112.5</v>
      </c>
      <c r="D779" t="str">
        <f t="shared" si="54"/>
        <v>USD</v>
      </c>
      <c r="E779" t="str">
        <f>"2017"</f>
        <v>2017</v>
      </c>
      <c r="F779" t="str">
        <f>"Kerton"</f>
        <v>Kerton</v>
      </c>
      <c r="G779" t="str">
        <f>"avanddanesh"</f>
        <v>avanddanesh</v>
      </c>
    </row>
    <row r="780" spans="1:7" x14ac:dyDescent="0.25">
      <c r="A780" t="str">
        <f>"Fullerene Polymers:Synthesis, Properties and Applications"</f>
        <v>Fullerene Polymers:Synthesis, Properties and Applications</v>
      </c>
      <c r="B780" t="str">
        <f>"9783527322824"</f>
        <v>9783527322824</v>
      </c>
      <c r="C780">
        <v>135</v>
      </c>
      <c r="D780" t="str">
        <f t="shared" si="54"/>
        <v>USD</v>
      </c>
      <c r="E780" t="str">
        <f>"2009"</f>
        <v>2009</v>
      </c>
      <c r="F780" t="str">
        <f>"Mart?n"</f>
        <v>Mart?n</v>
      </c>
      <c r="G780" t="str">
        <f>"safirketab"</f>
        <v>safirketab</v>
      </c>
    </row>
    <row r="781" spans="1:7" x14ac:dyDescent="0.25">
      <c r="A781" t="str">
        <f>"Fullerenes: Chemistry and Reactions"</f>
        <v>Fullerenes: Chemistry and Reactions</v>
      </c>
      <c r="B781" t="str">
        <f>"9783527308200"</f>
        <v>9783527308200</v>
      </c>
      <c r="C781">
        <v>150</v>
      </c>
      <c r="D781" t="str">
        <f t="shared" si="54"/>
        <v>USD</v>
      </c>
      <c r="E781" t="str">
        <f>"2005"</f>
        <v>2005</v>
      </c>
      <c r="F781" t="str">
        <f>"Hirsch"</f>
        <v>Hirsch</v>
      </c>
      <c r="G781" t="str">
        <f>"safirketab"</f>
        <v>safirketab</v>
      </c>
    </row>
    <row r="782" spans="1:7" x14ac:dyDescent="0.25">
      <c r="A782" t="str">
        <f>"Functional Organic and Hybrid Nanostructured Materials: Fabrication, Properties, and Applications"</f>
        <v>Functional Organic and Hybrid Nanostructured Materials: Fabrication, Properties, and Applications</v>
      </c>
      <c r="B782" t="str">
        <f>"9783527342549"</f>
        <v>9783527342549</v>
      </c>
      <c r="C782">
        <v>243</v>
      </c>
      <c r="D782" t="str">
        <f t="shared" si="54"/>
        <v>USD</v>
      </c>
      <c r="E782" t="str">
        <f>"2018"</f>
        <v>2018</v>
      </c>
      <c r="F782" t="str">
        <f>"Li"</f>
        <v>Li</v>
      </c>
      <c r="G782" t="str">
        <f>"avanddanesh"</f>
        <v>avanddanesh</v>
      </c>
    </row>
    <row r="783" spans="1:7" x14ac:dyDescent="0.25">
      <c r="A783" t="str">
        <f>"Functional Organic Materials: Syntheses, Strategies and Applications"</f>
        <v>Functional Organic Materials: Syntheses, Strategies and Applications</v>
      </c>
      <c r="B783" t="str">
        <f>"9783527313020"</f>
        <v>9783527313020</v>
      </c>
      <c r="C783">
        <v>228</v>
      </c>
      <c r="D783" t="str">
        <f t="shared" si="54"/>
        <v>USD</v>
      </c>
      <c r="E783" t="str">
        <f>"2007"</f>
        <v>2007</v>
      </c>
      <c r="F783" t="str">
        <f>"Mueller-Chemistry"</f>
        <v>Mueller-Chemistry</v>
      </c>
      <c r="G783" t="str">
        <f>"safirketab"</f>
        <v>safirketab</v>
      </c>
    </row>
    <row r="784" spans="1:7" x14ac:dyDescent="0.25">
      <c r="A784" t="str">
        <f>"FUNCTIONAL PROPERTIES OF BIO-INSPIRED SURFACES: CHARACTERIZATION AND TECHNOLOGICAL APPLICATIONS"</f>
        <v>FUNCTIONAL PROPERTIES OF BIO-INSPIRED SURFACES: CHARACTERIZATION AND TECHNOLOGICAL APPLICATIONS</v>
      </c>
      <c r="B784" t="str">
        <f>"9789812837011"</f>
        <v>9789812837011</v>
      </c>
      <c r="C784">
        <v>33.299999999999997</v>
      </c>
      <c r="D784" t="str">
        <f>"GBP"</f>
        <v>GBP</v>
      </c>
      <c r="E784" t="str">
        <f>"2009"</f>
        <v>2009</v>
      </c>
      <c r="F784" t="str">
        <f>"FAVRET EDUARDO A ET"</f>
        <v>FAVRET EDUARDO A ET</v>
      </c>
      <c r="G784" t="str">
        <f>"AsarBartar"</f>
        <v>AsarBartar</v>
      </c>
    </row>
    <row r="785" spans="1:7" x14ac:dyDescent="0.25">
      <c r="A785" t="str">
        <f>"Functional Synthetic Receptors"</f>
        <v>Functional Synthetic Receptors</v>
      </c>
      <c r="B785" t="str">
        <f>"9783527306558"</f>
        <v>9783527306558</v>
      </c>
      <c r="C785">
        <v>130</v>
      </c>
      <c r="D785" t="str">
        <f t="shared" ref="D785:D790" si="55">"USD"</f>
        <v>USD</v>
      </c>
      <c r="E785" t="str">
        <f>"2005"</f>
        <v>2005</v>
      </c>
      <c r="F785" t="str">
        <f>"Schrader"</f>
        <v>Schrader</v>
      </c>
      <c r="G785" t="str">
        <f>"avanddanesh"</f>
        <v>avanddanesh</v>
      </c>
    </row>
    <row r="786" spans="1:7" x14ac:dyDescent="0.25">
      <c r="A786" t="str">
        <f>"Fund. of Early Clinical Drug Development: From Synthesis Design to Formulation"</f>
        <v>Fund. of Early Clinical Drug Development: From Synthesis Design to Formulation</v>
      </c>
      <c r="B786" t="str">
        <f>"9780471692782"</f>
        <v>9780471692782</v>
      </c>
      <c r="C786">
        <v>78</v>
      </c>
      <c r="D786" t="str">
        <f t="shared" si="55"/>
        <v>USD</v>
      </c>
      <c r="E786" t="str">
        <f>"2006"</f>
        <v>2006</v>
      </c>
      <c r="F786" t="str">
        <f>"Abdel-Magid"</f>
        <v>Abdel-Magid</v>
      </c>
      <c r="G786" t="str">
        <f>"safirketab"</f>
        <v>safirketab</v>
      </c>
    </row>
    <row r="787" spans="1:7" x14ac:dyDescent="0.25">
      <c r="A787" t="str">
        <f>"Fundamental Concepts in Heterogeneous Catalysis"</f>
        <v>Fundamental Concepts in Heterogeneous Catalysis</v>
      </c>
      <c r="B787" t="str">
        <f>"9781118888957"</f>
        <v>9781118888957</v>
      </c>
      <c r="C787">
        <v>77.2</v>
      </c>
      <c r="D787" t="str">
        <f t="shared" si="55"/>
        <v>USD</v>
      </c>
      <c r="E787" t="str">
        <f>"2014"</f>
        <v>2014</v>
      </c>
      <c r="F787" t="str">
        <f>"NÙ‘rskov"</f>
        <v>NÙ‘rskov</v>
      </c>
      <c r="G787" t="str">
        <f>"avanddanesh"</f>
        <v>avanddanesh</v>
      </c>
    </row>
    <row r="788" spans="1:7" x14ac:dyDescent="0.25">
      <c r="A788" t="str">
        <f>"Fundamental Concepts of Inorganic Chemistry, 2e, Vol.2 "</f>
        <v xml:space="preserve">Fundamental Concepts of Inorganic Chemistry, 2e, Vol.2 </v>
      </c>
      <c r="B788" t="str">
        <f>"9788123918679"</f>
        <v>9788123918679</v>
      </c>
      <c r="C788">
        <v>15.3</v>
      </c>
      <c r="D788" t="str">
        <f t="shared" si="55"/>
        <v>USD</v>
      </c>
      <c r="E788" t="str">
        <f>"2015"</f>
        <v>2015</v>
      </c>
      <c r="F788" t="str">
        <f>"Das"</f>
        <v>Das</v>
      </c>
      <c r="G788" t="str">
        <f>"jahanadib"</f>
        <v>jahanadib</v>
      </c>
    </row>
    <row r="789" spans="1:7" x14ac:dyDescent="0.25">
      <c r="A789" t="str">
        <f>"Fundamental Concepts of Inorganic Chemistry, Vol.5"</f>
        <v>Fundamental Concepts of Inorganic Chemistry, Vol.5</v>
      </c>
      <c r="B789" t="str">
        <f>"9788123923529"</f>
        <v>9788123923529</v>
      </c>
      <c r="C789">
        <v>18</v>
      </c>
      <c r="D789" t="str">
        <f t="shared" si="55"/>
        <v>USD</v>
      </c>
      <c r="E789" t="str">
        <f>"2015"</f>
        <v>2015</v>
      </c>
      <c r="F789" t="str">
        <f>"Das"</f>
        <v>Das</v>
      </c>
      <c r="G789" t="str">
        <f>"jahanadib"</f>
        <v>jahanadib</v>
      </c>
    </row>
    <row r="790" spans="1:7" x14ac:dyDescent="0.25">
      <c r="A790" t="str">
        <f>"Fundamental Modelling of Membrane Systems, Membrane and Process Performance"</f>
        <v>Fundamental Modelling of Membrane Systems, Membrane and Process Performance</v>
      </c>
      <c r="B790" t="str">
        <f>"9780128134733"</f>
        <v>9780128134733</v>
      </c>
      <c r="C790">
        <v>189</v>
      </c>
      <c r="D790" t="str">
        <f t="shared" si="55"/>
        <v>USD</v>
      </c>
      <c r="E790" t="str">
        <f>"2018"</f>
        <v>2018</v>
      </c>
      <c r="F790" t="str">
        <f>"Alconero"</f>
        <v>Alconero</v>
      </c>
      <c r="G790" t="str">
        <f>"dehkadehketab"</f>
        <v>dehkadehketab</v>
      </c>
    </row>
    <row r="791" spans="1:7" x14ac:dyDescent="0.25">
      <c r="A791" t="str">
        <f>"FUNDAMENTALS AND APPLICATIONS IN AEROSOL SPECTROSCOPY"</f>
        <v>FUNDAMENTALS AND APPLICATIONS IN AEROSOL SPECTROSCOPY</v>
      </c>
      <c r="B791" t="str">
        <f>"9781420085617"</f>
        <v>9781420085617</v>
      </c>
      <c r="C791">
        <v>29.7</v>
      </c>
      <c r="D791" t="str">
        <f>"GBP"</f>
        <v>GBP</v>
      </c>
      <c r="E791" t="str">
        <f>"2011"</f>
        <v>2011</v>
      </c>
      <c r="F791" t="str">
        <f>"SIGNORELL"</f>
        <v>SIGNORELL</v>
      </c>
      <c r="G791" t="str">
        <f>"AsarBartar"</f>
        <v>AsarBartar</v>
      </c>
    </row>
    <row r="792" spans="1:7" x14ac:dyDescent="0.25">
      <c r="A792" t="str">
        <f>"Fundamentals and Applications of Organic Electrochemistry: Synthesis, Materials, Devices"</f>
        <v>Fundamentals and Applications of Organic Electrochemistry: Synthesis, Materials, Devices</v>
      </c>
      <c r="B792" t="str">
        <f>"9781118653173"</f>
        <v>9781118653173</v>
      </c>
      <c r="C792">
        <v>60</v>
      </c>
      <c r="D792" t="str">
        <f>"USD"</f>
        <v>USD</v>
      </c>
      <c r="E792" t="str">
        <f>"2014"</f>
        <v>2014</v>
      </c>
      <c r="F792" t="str">
        <f>"Fuchigami"</f>
        <v>Fuchigami</v>
      </c>
      <c r="G792" t="str">
        <f>"avanddanesh"</f>
        <v>avanddanesh</v>
      </c>
    </row>
    <row r="793" spans="1:7" x14ac:dyDescent="0.25">
      <c r="A793" t="str">
        <f>"Fundamentals of Classical Statistical Thermodynamics: Dissipation, Relaxation, and Fluctuation Theorems"</f>
        <v>Fundamentals of Classical Statistical Thermodynamics: Dissipation, Relaxation, and Fluctuation Theorems</v>
      </c>
      <c r="B793" t="str">
        <f>"9783527410736"</f>
        <v>9783527410736</v>
      </c>
      <c r="C793">
        <v>93.5</v>
      </c>
      <c r="D793" t="str">
        <f>"USD"</f>
        <v>USD</v>
      </c>
      <c r="E793" t="str">
        <f>"2016"</f>
        <v>2016</v>
      </c>
      <c r="F793" t="str">
        <f>"Evans"</f>
        <v>Evans</v>
      </c>
      <c r="G793" t="str">
        <f>"avanddanesh"</f>
        <v>avanddanesh</v>
      </c>
    </row>
    <row r="794" spans="1:7" x14ac:dyDescent="0.25">
      <c r="A794" t="str">
        <f>"Fundamentals of Fiber Science"</f>
        <v>Fundamentals of Fiber Science</v>
      </c>
      <c r="B794" t="str">
        <f>"9781605951195"</f>
        <v>9781605951195</v>
      </c>
      <c r="C794">
        <v>101.5</v>
      </c>
      <c r="D794" t="str">
        <f>"GBP"</f>
        <v>GBP</v>
      </c>
      <c r="E794" t="str">
        <f>"2014"</f>
        <v>2014</v>
      </c>
      <c r="F794" t="str">
        <f>"Zhang"</f>
        <v>Zhang</v>
      </c>
      <c r="G794" t="str">
        <f>"jahanadib"</f>
        <v>jahanadib</v>
      </c>
    </row>
    <row r="795" spans="1:7" x14ac:dyDescent="0.25">
      <c r="A795" t="str">
        <f>"Fundamentals of Inkjet Printing: The Science of Inkjet and Droplets"</f>
        <v>Fundamentals of Inkjet Printing: The Science of Inkjet and Droplets</v>
      </c>
      <c r="B795" t="str">
        <f>"9783527337859"</f>
        <v>9783527337859</v>
      </c>
      <c r="C795">
        <v>102</v>
      </c>
      <c r="D795" t="str">
        <f>"USD"</f>
        <v>USD</v>
      </c>
      <c r="E795" t="str">
        <f>"2016"</f>
        <v>2016</v>
      </c>
      <c r="F795" t="str">
        <f>"Hoath"</f>
        <v>Hoath</v>
      </c>
      <c r="G795" t="str">
        <f>"avanddanesh"</f>
        <v>avanddanesh</v>
      </c>
    </row>
    <row r="796" spans="1:7" x14ac:dyDescent="0.25">
      <c r="A796" t="str">
        <f>"Fundamentals of Intracellular Calcium"</f>
        <v>Fundamentals of Intracellular Calcium</v>
      </c>
      <c r="B796" t="str">
        <f>"9781118941874"</f>
        <v>9781118941874</v>
      </c>
      <c r="C796">
        <v>85.5</v>
      </c>
      <c r="D796" t="str">
        <f>"USD"</f>
        <v>USD</v>
      </c>
      <c r="E796" t="str">
        <f>"2017"</f>
        <v>2017</v>
      </c>
      <c r="F796" t="str">
        <f>"Campbell"</f>
        <v>Campbell</v>
      </c>
      <c r="G796" t="str">
        <f>"avanddanesh"</f>
        <v>avanddanesh</v>
      </c>
    </row>
    <row r="797" spans="1:7" x14ac:dyDescent="0.25">
      <c r="A797" t="str">
        <f>"Fundamentals of Ionic Liquids: From Chemistry to Applications"</f>
        <v>Fundamentals of Ionic Liquids: From Chemistry to Applications</v>
      </c>
      <c r="B797" t="str">
        <f>"9783527339990"</f>
        <v>9783527339990</v>
      </c>
      <c r="C797">
        <v>108</v>
      </c>
      <c r="D797" t="str">
        <f>"USD"</f>
        <v>USD</v>
      </c>
      <c r="E797" t="str">
        <f>"2017"</f>
        <v>2017</v>
      </c>
      <c r="F797" t="str">
        <f>"MacFarlane"</f>
        <v>MacFarlane</v>
      </c>
      <c r="G797" t="str">
        <f>"avanddanesh"</f>
        <v>avanddanesh</v>
      </c>
    </row>
    <row r="798" spans="1:7" x14ac:dyDescent="0.25">
      <c r="A798" t="str">
        <f>"Fundamentals Of Sustainable Chemical Science"</f>
        <v>Fundamentals Of Sustainable Chemical Science</v>
      </c>
      <c r="B798" t="str">
        <f>"9781439802397"</f>
        <v>9781439802397</v>
      </c>
      <c r="C798">
        <v>27.2</v>
      </c>
      <c r="D798" t="str">
        <f>"USD"</f>
        <v>USD</v>
      </c>
      <c r="E798" t="str">
        <f>"2015"</f>
        <v>2015</v>
      </c>
      <c r="F798" t="str">
        <f>"Stanley "</f>
        <v xml:space="preserve">Stanley </v>
      </c>
      <c r="G798" t="str">
        <f>"jahanadib"</f>
        <v>jahanadib</v>
      </c>
    </row>
    <row r="799" spans="1:7" x14ac:dyDescent="0.25">
      <c r="A799" t="str">
        <f>"Fundamentals Of Sustainable Chemical Science"</f>
        <v>Fundamentals Of Sustainable Chemical Science</v>
      </c>
      <c r="B799" t="str">
        <f>"9781439802397"</f>
        <v>9781439802397</v>
      </c>
      <c r="C799">
        <v>27.2</v>
      </c>
      <c r="D799" t="str">
        <f>"USD"</f>
        <v>USD</v>
      </c>
      <c r="E799" t="str">
        <f>"2015"</f>
        <v>2015</v>
      </c>
      <c r="F799" t="str">
        <f>"Stanley "</f>
        <v xml:space="preserve">Stanley </v>
      </c>
      <c r="G799" t="str">
        <f>"safirketab"</f>
        <v>safirketab</v>
      </c>
    </row>
    <row r="800" spans="1:7" x14ac:dyDescent="0.25">
      <c r="A800" t="str">
        <f>"Fungal Metabolites"</f>
        <v>Fungal Metabolites</v>
      </c>
      <c r="B800" t="str">
        <f>"9783319250007"</f>
        <v>9783319250007</v>
      </c>
      <c r="C800">
        <v>341.99</v>
      </c>
      <c r="D800" t="str">
        <f>"EUR"</f>
        <v>EUR</v>
      </c>
      <c r="E800" t="str">
        <f>"2017"</f>
        <v>2017</v>
      </c>
      <c r="F800" t="str">
        <f>"MÃ©rillon"</f>
        <v>MÃ©rillon</v>
      </c>
      <c r="G800" t="str">
        <f>"negarestanabi"</f>
        <v>negarestanabi</v>
      </c>
    </row>
    <row r="801" spans="1:7" x14ac:dyDescent="0.25">
      <c r="A801" t="str">
        <f>"Future Directions in Biocatalysis, 2nd Edition"</f>
        <v>Future Directions in Biocatalysis, 2nd Edition</v>
      </c>
      <c r="B801" t="str">
        <f>"9780444637390"</f>
        <v>9780444637390</v>
      </c>
      <c r="C801">
        <v>207</v>
      </c>
      <c r="D801" t="str">
        <f>"USD"</f>
        <v>USD</v>
      </c>
      <c r="E801" t="str">
        <f>"2017"</f>
        <v>2017</v>
      </c>
      <c r="F801" t="str">
        <f>"Matsuda"</f>
        <v>Matsuda</v>
      </c>
      <c r="G801" t="str">
        <f>"dehkadehketab"</f>
        <v>dehkadehketab</v>
      </c>
    </row>
    <row r="802" spans="1:7" x14ac:dyDescent="0.25">
      <c r="A802" t="str">
        <f>"G Protein-Coupled Receptors : Essential Methods"</f>
        <v>G Protein-Coupled Receptors : Essential Methods</v>
      </c>
      <c r="B802" t="str">
        <f>"9780470749142"</f>
        <v>9780470749142</v>
      </c>
      <c r="C802">
        <v>42</v>
      </c>
      <c r="D802" t="str">
        <f>"USD"</f>
        <v>USD</v>
      </c>
      <c r="E802" t="str">
        <f>"2010"</f>
        <v>2010</v>
      </c>
      <c r="F802" t="str">
        <f>"Poyner"</f>
        <v>Poyner</v>
      </c>
      <c r="G802" t="str">
        <f>"avanddanesh"</f>
        <v>avanddanesh</v>
      </c>
    </row>
    <row r="803" spans="1:7" x14ac:dyDescent="0.25">
      <c r="A803" t="str">
        <f>"Gas-Phase IR Spectroscopy and Structure of Biological Molecules"</f>
        <v>Gas-Phase IR Spectroscopy and Structure of Biological Molecules</v>
      </c>
      <c r="B803" t="str">
        <f>"9783319192031"</f>
        <v>9783319192031</v>
      </c>
      <c r="C803">
        <v>251.99</v>
      </c>
      <c r="D803" t="str">
        <f>"EUR"</f>
        <v>EUR</v>
      </c>
      <c r="E803" t="str">
        <f>"2015"</f>
        <v>2015</v>
      </c>
      <c r="F803" t="str">
        <f>"Rijs"</f>
        <v>Rijs</v>
      </c>
      <c r="G803" t="str">
        <f>"negarestanabi"</f>
        <v>negarestanabi</v>
      </c>
    </row>
    <row r="804" spans="1:7" x14ac:dyDescent="0.25">
      <c r="A804" t="str">
        <f>"Gas-Phase Synthesis of Nanoparticles"</f>
        <v>Gas-Phase Synthesis of Nanoparticles</v>
      </c>
      <c r="B804" t="str">
        <f>"9783527340606"</f>
        <v>9783527340606</v>
      </c>
      <c r="C804">
        <v>184.5</v>
      </c>
      <c r="D804" t="str">
        <f>"USD"</f>
        <v>USD</v>
      </c>
      <c r="E804" t="str">
        <f>"2017"</f>
        <v>2017</v>
      </c>
      <c r="F804" t="str">
        <f>"Huttel"</f>
        <v>Huttel</v>
      </c>
      <c r="G804" t="str">
        <f>"avanddanesh"</f>
        <v>avanddanesh</v>
      </c>
    </row>
    <row r="805" spans="1:7" x14ac:dyDescent="0.25">
      <c r="A805" t="str">
        <f>"Gel Chemistry: Interactions. Structures and Properties"</f>
        <v>Gel Chemistry: Interactions. Structures and Properties</v>
      </c>
      <c r="B805" t="str">
        <f>"9789811068805"</f>
        <v>9789811068805</v>
      </c>
      <c r="C805">
        <v>89.99</v>
      </c>
      <c r="D805" t="str">
        <f>"EUR"</f>
        <v>EUR</v>
      </c>
      <c r="E805" t="str">
        <f>"2018"</f>
        <v>2018</v>
      </c>
      <c r="F805" t="str">
        <f>"Zhang"</f>
        <v>Zhang</v>
      </c>
      <c r="G805" t="str">
        <f>"negarestanabi"</f>
        <v>negarestanabi</v>
      </c>
    </row>
    <row r="806" spans="1:7" x14ac:dyDescent="0.25">
      <c r="A806" t="str">
        <f>"Gelatine HDBK: Theory and Industrial Practice"</f>
        <v>Gelatine HDBK: Theory and Industrial Practice</v>
      </c>
      <c r="B806" t="str">
        <f>"9783527315482"</f>
        <v>9783527315482</v>
      </c>
      <c r="C806">
        <v>117</v>
      </c>
      <c r="D806" t="str">
        <f>"USD"</f>
        <v>USD</v>
      </c>
      <c r="E806" t="str">
        <f>"2007"</f>
        <v>2007</v>
      </c>
      <c r="F806" t="str">
        <f>"Schrieber-Chemistry"</f>
        <v>Schrieber-Chemistry</v>
      </c>
      <c r="G806" t="str">
        <f>"safirketab"</f>
        <v>safirketab</v>
      </c>
    </row>
    <row r="807" spans="1:7" x14ac:dyDescent="0.25">
      <c r="A807" t="str">
        <f>"Gene Family Targeted Molecular Design"</f>
        <v>Gene Family Targeted Molecular Design</v>
      </c>
      <c r="B807" t="str">
        <f>"9780470412893"</f>
        <v>9780470412893</v>
      </c>
      <c r="C807">
        <v>53.6</v>
      </c>
      <c r="D807" t="str">
        <f>"USD"</f>
        <v>USD</v>
      </c>
      <c r="E807" t="str">
        <f>"2008"</f>
        <v>2008</v>
      </c>
      <c r="F807" t="str">
        <f>"Lackey"</f>
        <v>Lackey</v>
      </c>
      <c r="G807" t="str">
        <f>"avanddanesh"</f>
        <v>avanddanesh</v>
      </c>
    </row>
    <row r="808" spans="1:7" x14ac:dyDescent="0.25">
      <c r="A808" t="str">
        <f>"Gene Family Targeted Molecular Design"</f>
        <v>Gene Family Targeted Molecular Design</v>
      </c>
      <c r="B808" t="str">
        <f>"9780470412893"</f>
        <v>9780470412893</v>
      </c>
      <c r="C808">
        <v>53.6</v>
      </c>
      <c r="D808" t="str">
        <f>"USD"</f>
        <v>USD</v>
      </c>
      <c r="E808" t="str">
        <f>"2009"</f>
        <v>2009</v>
      </c>
      <c r="F808" t="str">
        <f>"Lackey"</f>
        <v>Lackey</v>
      </c>
      <c r="G808" t="str">
        <f>"safirketab"</f>
        <v>safirketab</v>
      </c>
    </row>
    <row r="809" spans="1:7" x14ac:dyDescent="0.25">
      <c r="A809" t="str">
        <f>"GENE PROFILING IN DRUG DESIGN"</f>
        <v>GENE PROFILING IN DRUG DESIGN</v>
      </c>
      <c r="B809" t="str">
        <f>"9780849337338"</f>
        <v>9780849337338</v>
      </c>
      <c r="C809">
        <v>28.8</v>
      </c>
      <c r="D809" t="str">
        <f>"GBP"</f>
        <v>GBP</v>
      </c>
      <c r="E809" t="str">
        <f>"2009"</f>
        <v>2009</v>
      </c>
      <c r="F809" t="str">
        <f>"BLACK"</f>
        <v>BLACK</v>
      </c>
      <c r="G809" t="str">
        <f>"AsarBartar"</f>
        <v>AsarBartar</v>
      </c>
    </row>
    <row r="810" spans="1:7" x14ac:dyDescent="0.25">
      <c r="A810" t="str">
        <f>"General Chemistry: The Essential Concepts"</f>
        <v>General Chemistry: The Essential Concepts</v>
      </c>
      <c r="B810" t="str">
        <f>"9780073402758"</f>
        <v>9780073402758</v>
      </c>
      <c r="C810">
        <v>144.6</v>
      </c>
      <c r="D810" t="str">
        <f>"USD"</f>
        <v>USD</v>
      </c>
      <c r="E810" t="str">
        <f>"2013"</f>
        <v>2013</v>
      </c>
      <c r="F810" t="str">
        <f>"Chang"</f>
        <v>Chang</v>
      </c>
      <c r="G810" t="str">
        <f>"Parsian Publication"</f>
        <v>Parsian Publication</v>
      </c>
    </row>
    <row r="811" spans="1:7" x14ac:dyDescent="0.25">
      <c r="A811" t="str">
        <f>"General Organic and Biological Chemistry,3e"</f>
        <v>General Organic and Biological Chemistry,3e</v>
      </c>
      <c r="B811" t="str">
        <f>"9780470504765"</f>
        <v>9780470504765</v>
      </c>
      <c r="C811">
        <v>21</v>
      </c>
      <c r="D811" t="str">
        <f>"USD"</f>
        <v>USD</v>
      </c>
      <c r="E811" t="str">
        <f>"2010"</f>
        <v>2010</v>
      </c>
      <c r="F811" t="str">
        <f>"Raymond"</f>
        <v>Raymond</v>
      </c>
      <c r="G811" t="str">
        <f>"avanddanesh"</f>
        <v>avanddanesh</v>
      </c>
    </row>
    <row r="812" spans="1:7" x14ac:dyDescent="0.25">
      <c r="A812" t="str">
        <f>"GENERAL, ORGANIC, &amp; BIOCHEMISTRY"</f>
        <v>GENERAL, ORGANIC, &amp; BIOCHEMISTRY</v>
      </c>
      <c r="B812" t="str">
        <f>"9781259253393"</f>
        <v>9781259253393</v>
      </c>
      <c r="C812">
        <v>85</v>
      </c>
      <c r="D812" t="str">
        <f>"USD"</f>
        <v>USD</v>
      </c>
      <c r="E812" t="str">
        <f>"2016"</f>
        <v>2016</v>
      </c>
      <c r="F812" t="str">
        <f>"DENNISTON"</f>
        <v>DENNISTON</v>
      </c>
      <c r="G812" t="str">
        <f>"safirketab"</f>
        <v>safirketab</v>
      </c>
    </row>
    <row r="813" spans="1:7" x14ac:dyDescent="0.25">
      <c r="A813" t="str">
        <f>"GENERAL, ORGANIC, AND BIOCHEMISTRY: AN APPLIED APPROACH"</f>
        <v>GENERAL, ORGANIC, AND BIOCHEMISTRY: AN APPLIED APPROACH</v>
      </c>
      <c r="B813" t="str">
        <f>"9780840068286"</f>
        <v>9780840068286</v>
      </c>
      <c r="C813">
        <v>16.489999999999998</v>
      </c>
      <c r="D813" t="str">
        <f>"GBP"</f>
        <v>GBP</v>
      </c>
      <c r="E813" t="str">
        <f>"2012"</f>
        <v>2012</v>
      </c>
      <c r="F813" t="str">
        <f>"ARMSTRONG"</f>
        <v>ARMSTRONG</v>
      </c>
      <c r="G813" t="str">
        <f>"AsarBartar"</f>
        <v>AsarBartar</v>
      </c>
    </row>
    <row r="814" spans="1:7" x14ac:dyDescent="0.25">
      <c r="A814" t="str">
        <f>"Geofluids, Developments in Microthermometry, Spectroscopy, Thermodynamics, and Stable Isotopes"</f>
        <v>Geofluids, Developments in Microthermometry, Spectroscopy, Thermodynamics, and Stable Isotopes</v>
      </c>
      <c r="B814" t="str">
        <f>"9780128032411"</f>
        <v>9780128032411</v>
      </c>
      <c r="C814">
        <v>144</v>
      </c>
      <c r="D814" t="str">
        <f>"USD"</f>
        <v>USD</v>
      </c>
      <c r="E814" t="str">
        <f>"2015"</f>
        <v>2015</v>
      </c>
      <c r="F814" t="str">
        <f>"Hurai et al"</f>
        <v>Hurai et al</v>
      </c>
      <c r="G814" t="str">
        <f>"arang"</f>
        <v>arang</v>
      </c>
    </row>
    <row r="815" spans="1:7" x14ac:dyDescent="0.25">
      <c r="A815" t="str">
        <f>"Glass: Mechanics and Technology"</f>
        <v>Glass: Mechanics and Technology</v>
      </c>
      <c r="B815" t="str">
        <f>"9783527315499"</f>
        <v>9783527315499</v>
      </c>
      <c r="C815">
        <v>90</v>
      </c>
      <c r="D815" t="str">
        <f>"USD"</f>
        <v>USD</v>
      </c>
      <c r="E815" t="str">
        <f>"2008"</f>
        <v>2008</v>
      </c>
      <c r="F815" t="str">
        <f>"Le Bourhis"</f>
        <v>Le Bourhis</v>
      </c>
      <c r="G815" t="str">
        <f>"safirketab"</f>
        <v>safirketab</v>
      </c>
    </row>
    <row r="816" spans="1:7" x14ac:dyDescent="0.25">
      <c r="A816" t="str">
        <f>"Global Food Legislation: An Overview"</f>
        <v>Global Food Legislation: An Overview</v>
      </c>
      <c r="B816" t="str">
        <f>"9783527335558"</f>
        <v>9783527335558</v>
      </c>
      <c r="C816">
        <v>135.80000000000001</v>
      </c>
      <c r="D816" t="str">
        <f>"USD"</f>
        <v>USD</v>
      </c>
      <c r="E816" t="str">
        <f>"2014"</f>
        <v>2014</v>
      </c>
      <c r="F816" t="str">
        <f>"Kirchsteiger-Meier"</f>
        <v>Kirchsteiger-Meier</v>
      </c>
      <c r="G816" t="str">
        <f>"avanddanesh"</f>
        <v>avanddanesh</v>
      </c>
    </row>
    <row r="817" spans="1:7" x14ac:dyDescent="0.25">
      <c r="A817" t="str">
        <f>"Glucosinolates"</f>
        <v>Glucosinolates</v>
      </c>
      <c r="B817" t="str">
        <f>"9783319254616"</f>
        <v>9783319254616</v>
      </c>
      <c r="C817">
        <v>233.1</v>
      </c>
      <c r="D817" t="str">
        <f>"EUR"</f>
        <v>EUR</v>
      </c>
      <c r="E817" t="str">
        <f>"2017"</f>
        <v>2017</v>
      </c>
      <c r="F817" t="str">
        <f>"MÃ©rillon"</f>
        <v>MÃ©rillon</v>
      </c>
      <c r="G817" t="str">
        <f>"negarestanabi"</f>
        <v>negarestanabi</v>
      </c>
    </row>
    <row r="818" spans="1:7" x14ac:dyDescent="0.25">
      <c r="A818" t="str">
        <f>"Glutathione and Sulfur Amino Acids in Human Health and Disease"</f>
        <v>Glutathione and Sulfur Amino Acids in Human Health and Disease</v>
      </c>
      <c r="B818" t="str">
        <f>"9780470170854"</f>
        <v>9780470170854</v>
      </c>
      <c r="C818">
        <v>75.2</v>
      </c>
      <c r="D818" t="str">
        <f>"USD"</f>
        <v>USD</v>
      </c>
      <c r="E818" t="str">
        <f>"2009"</f>
        <v>2009</v>
      </c>
      <c r="F818" t="str">
        <f>"Masella"</f>
        <v>Masella</v>
      </c>
      <c r="G818" t="str">
        <f>"avanddanesh"</f>
        <v>avanddanesh</v>
      </c>
    </row>
    <row r="819" spans="1:7" x14ac:dyDescent="0.25">
      <c r="A819" t="str">
        <f>"Glutathione and Sulfur Amino Acids in Human Health and Disease"</f>
        <v>Glutathione and Sulfur Amino Acids in Human Health and Disease</v>
      </c>
      <c r="B819" t="str">
        <f>"9780470170854"</f>
        <v>9780470170854</v>
      </c>
      <c r="C819">
        <v>75.2</v>
      </c>
      <c r="D819" t="str">
        <f>"USD"</f>
        <v>USD</v>
      </c>
      <c r="E819" t="str">
        <f>"2009"</f>
        <v>2009</v>
      </c>
      <c r="F819" t="str">
        <f>"Masella"</f>
        <v>Masella</v>
      </c>
      <c r="G819" t="str">
        <f>"safirketab"</f>
        <v>safirketab</v>
      </c>
    </row>
    <row r="820" spans="1:7" x14ac:dyDescent="0.25">
      <c r="A820" t="str">
        <f>"Glycerol, The Renewable Platform Chemical"</f>
        <v>Glycerol, The Renewable Platform Chemical</v>
      </c>
      <c r="B820" t="str">
        <f>"9780128122051"</f>
        <v>9780128122051</v>
      </c>
      <c r="C820">
        <v>135</v>
      </c>
      <c r="D820" t="str">
        <f>"USD"</f>
        <v>USD</v>
      </c>
      <c r="E820" t="str">
        <f>"2017"</f>
        <v>2017</v>
      </c>
      <c r="F820" t="str">
        <f>"Pagliaro"</f>
        <v>Pagliaro</v>
      </c>
      <c r="G820" t="str">
        <f>"dehkadehketab"</f>
        <v>dehkadehketab</v>
      </c>
    </row>
    <row r="821" spans="1:7" x14ac:dyDescent="0.25">
      <c r="A821" t="str">
        <f>"Glycochemical Synthesis: Strategies and Applications"</f>
        <v>Glycochemical Synthesis: Strategies and Applications</v>
      </c>
      <c r="B821" t="str">
        <f>"9781118299845"</f>
        <v>9781118299845</v>
      </c>
      <c r="C821">
        <v>165.8</v>
      </c>
      <c r="D821" t="str">
        <f>"USD"</f>
        <v>USD</v>
      </c>
      <c r="E821" t="str">
        <f>"2016"</f>
        <v>2016</v>
      </c>
      <c r="F821" t="str">
        <f>"Hung"</f>
        <v>Hung</v>
      </c>
      <c r="G821" t="str">
        <f>"avanddanesh"</f>
        <v>avanddanesh</v>
      </c>
    </row>
    <row r="822" spans="1:7" x14ac:dyDescent="0.25">
      <c r="A822" t="str">
        <f>"Glycogen Synthase Kinase-3 (GSK-3) and Its Inhibitors"</f>
        <v>Glycogen Synthase Kinase-3 (GSK-3) and Its Inhibitors</v>
      </c>
      <c r="B822" t="str">
        <f>"9780471770015"</f>
        <v>9780471770015</v>
      </c>
      <c r="C822">
        <v>84</v>
      </c>
      <c r="D822" t="str">
        <f>"USD"</f>
        <v>USD</v>
      </c>
      <c r="E822" t="str">
        <f>"2006"</f>
        <v>2006</v>
      </c>
      <c r="F822" t="str">
        <f>"Martinez-Chemistry"</f>
        <v>Martinez-Chemistry</v>
      </c>
      <c r="G822" t="str">
        <f>"safirketab"</f>
        <v>safirketab</v>
      </c>
    </row>
    <row r="823" spans="1:7" x14ac:dyDescent="0.25">
      <c r="A823" t="str">
        <f>"GOLD NANOPARTICLES FOR PHYSICS, CHEMISTRY AND BIOLOGY (SECOND EDITION)"</f>
        <v>GOLD NANOPARTICLES FOR PHYSICS, CHEMISTRY AND BIOLOGY (SECOND EDITION)</v>
      </c>
      <c r="B823" t="str">
        <f>"9781786341242"</f>
        <v>9781786341242</v>
      </c>
      <c r="C823">
        <v>125.1</v>
      </c>
      <c r="D823" t="str">
        <f>"GBP"</f>
        <v>GBP</v>
      </c>
      <c r="E823" t="str">
        <f>"2017"</f>
        <v>2017</v>
      </c>
      <c r="F823" t="str">
        <f>"LOUIS CATHERINE &amp; P"</f>
        <v>LOUIS CATHERINE &amp; P</v>
      </c>
      <c r="G823" t="str">
        <f>"AsarBartar"</f>
        <v>AsarBartar</v>
      </c>
    </row>
    <row r="824" spans="1:7" x14ac:dyDescent="0.25">
      <c r="A824" t="str">
        <f>"GOLDFRANKS TOXICOLOGIC EMERGENCIES"</f>
        <v>GOLDFRANKS TOXICOLOGIC EMERGENCIES</v>
      </c>
      <c r="B824" t="str">
        <f>"9780071801843"</f>
        <v>9780071801843</v>
      </c>
      <c r="C824">
        <v>276.25</v>
      </c>
      <c r="D824" t="str">
        <f>"USD"</f>
        <v>USD</v>
      </c>
      <c r="E824" t="str">
        <f>"2015"</f>
        <v>2015</v>
      </c>
      <c r="F824" t="str">
        <f>"Nelson"</f>
        <v>Nelson</v>
      </c>
      <c r="G824" t="str">
        <f>"AsarBartar"</f>
        <v>AsarBartar</v>
      </c>
    </row>
    <row r="825" spans="1:7" x14ac:dyDescent="0.25">
      <c r="A825" t="str">
        <f>"Green Biocatalysis"</f>
        <v>Green Biocatalysis</v>
      </c>
      <c r="B825" t="str">
        <f>"9781118822296"</f>
        <v>9781118822296</v>
      </c>
      <c r="C825">
        <v>191.3</v>
      </c>
      <c r="D825" t="str">
        <f>"USD"</f>
        <v>USD</v>
      </c>
      <c r="E825" t="str">
        <f>"2016"</f>
        <v>2016</v>
      </c>
      <c r="F825" t="str">
        <f>"Patel"</f>
        <v>Patel</v>
      </c>
      <c r="G825" t="str">
        <f>"avanddanesh"</f>
        <v>avanddanesh</v>
      </c>
    </row>
    <row r="826" spans="1:7" x14ac:dyDescent="0.25">
      <c r="A826" t="str">
        <f>"Green Chemistry"</f>
        <v>Green Chemistry</v>
      </c>
      <c r="B826" t="str">
        <f>"9781782622949"</f>
        <v>9781782622949</v>
      </c>
      <c r="C826">
        <v>23.4</v>
      </c>
      <c r="D826" t="str">
        <f>"GBP"</f>
        <v>GBP</v>
      </c>
      <c r="E826" t="str">
        <f>"2016"</f>
        <v>2016</v>
      </c>
      <c r="F826" t="str">
        <f>"Mike Lancaster"</f>
        <v>Mike Lancaster</v>
      </c>
      <c r="G826" t="str">
        <f>"arzinbooks"</f>
        <v>arzinbooks</v>
      </c>
    </row>
    <row r="827" spans="1:7" x14ac:dyDescent="0.25">
      <c r="A827" t="str">
        <f>"Green Chemistry in the Pharmaceutical Industry"</f>
        <v>Green Chemistry in the Pharmaceutical Industry</v>
      </c>
      <c r="B827" t="str">
        <f>"9783527324187"</f>
        <v>9783527324187</v>
      </c>
      <c r="C827">
        <v>142.5</v>
      </c>
      <c r="D827" t="str">
        <f t="shared" ref="D827:D837" si="56">"USD"</f>
        <v>USD</v>
      </c>
      <c r="E827" t="str">
        <f>"2010"</f>
        <v>2010</v>
      </c>
      <c r="F827" t="str">
        <f>"Dunn"</f>
        <v>Dunn</v>
      </c>
      <c r="G827" t="str">
        <f>"safirketab"</f>
        <v>safirketab</v>
      </c>
    </row>
    <row r="828" spans="1:7" x14ac:dyDescent="0.25">
      <c r="A828" t="str">
        <f>"Green Chemistry, An Inclusive Approach"</f>
        <v>Green Chemistry, An Inclusive Approach</v>
      </c>
      <c r="B828" t="str">
        <f>"9780128092651"</f>
        <v>9780128092651</v>
      </c>
      <c r="C828">
        <v>139.5</v>
      </c>
      <c r="D828" t="str">
        <f t="shared" si="56"/>
        <v>USD</v>
      </c>
      <c r="E828" t="str">
        <f>"2017"</f>
        <v>2017</v>
      </c>
      <c r="F828" t="str">
        <f>"Torok and Dransfield"</f>
        <v>Torok and Dransfield</v>
      </c>
      <c r="G828" t="str">
        <f>"dehkadehketab"</f>
        <v>dehkadehketab</v>
      </c>
    </row>
    <row r="829" spans="1:7" x14ac:dyDescent="0.25">
      <c r="A829" t="str">
        <f>"Green Extraction of Natural Products Theory and Practice"</f>
        <v>Green Extraction of Natural Products Theory and Practice</v>
      </c>
      <c r="B829" t="str">
        <f>"9783527336531"</f>
        <v>9783527336531</v>
      </c>
      <c r="C829">
        <v>156.80000000000001</v>
      </c>
      <c r="D829" t="str">
        <f t="shared" si="56"/>
        <v>USD</v>
      </c>
      <c r="E829" t="str">
        <f>"2015"</f>
        <v>2015</v>
      </c>
      <c r="F829" t="str">
        <f>"Chemat"</f>
        <v>Chemat</v>
      </c>
      <c r="G829" t="str">
        <f>"avanddanesh"</f>
        <v>avanddanesh</v>
      </c>
    </row>
    <row r="830" spans="1:7" x14ac:dyDescent="0.25">
      <c r="A830" t="str">
        <f>"Green Fluorescent Protein: Properties, Applications and Protocols,2e"</f>
        <v>Green Fluorescent Protein: Properties, Applications and Protocols,2e</v>
      </c>
      <c r="B830" t="str">
        <f>"9780471736820"</f>
        <v>9780471736820</v>
      </c>
      <c r="C830">
        <v>66</v>
      </c>
      <c r="D830" t="str">
        <f t="shared" si="56"/>
        <v>USD</v>
      </c>
      <c r="E830" t="str">
        <f>"2005"</f>
        <v>2005</v>
      </c>
      <c r="F830" t="str">
        <f>"Chalfie"</f>
        <v>Chalfie</v>
      </c>
      <c r="G830" t="str">
        <f>"avanddanesh"</f>
        <v>avanddanesh</v>
      </c>
    </row>
    <row r="831" spans="1:7" x14ac:dyDescent="0.25">
      <c r="A831" t="str">
        <f>"Green Materials for Electronics"</f>
        <v>Green Materials for Electronics</v>
      </c>
      <c r="B831" t="str">
        <f>"9783527338658"</f>
        <v>9783527338658</v>
      </c>
      <c r="C831">
        <v>184.5</v>
      </c>
      <c r="D831" t="str">
        <f t="shared" si="56"/>
        <v>USD</v>
      </c>
      <c r="E831" t="str">
        <f>"2017"</f>
        <v>2017</v>
      </c>
      <c r="F831" t="str">
        <f>"Irimia-Vladu"</f>
        <v>Irimia-Vladu</v>
      </c>
      <c r="G831" t="str">
        <f>"avanddanesh"</f>
        <v>avanddanesh</v>
      </c>
    </row>
    <row r="832" spans="1:7" x14ac:dyDescent="0.25">
      <c r="A832" t="str">
        <f>"Green Metrics"</f>
        <v>Green Metrics</v>
      </c>
      <c r="B832" t="str">
        <f>"9783527326440"</f>
        <v>9783527326440</v>
      </c>
      <c r="C832">
        <v>184.5</v>
      </c>
      <c r="D832" t="str">
        <f t="shared" si="56"/>
        <v>USD</v>
      </c>
      <c r="E832" t="str">
        <f>"2018"</f>
        <v>2018</v>
      </c>
      <c r="F832" t="str">
        <f>"Constable"</f>
        <v>Constable</v>
      </c>
      <c r="G832" t="str">
        <f>"avanddanesh"</f>
        <v>avanddanesh</v>
      </c>
    </row>
    <row r="833" spans="1:7" x14ac:dyDescent="0.25">
      <c r="A833" t="str">
        <f>"Green Synthetic Approaches for Biologically Relevant Heterocycles"</f>
        <v>Green Synthetic Approaches for Biologically Relevant Heterocycles</v>
      </c>
      <c r="B833" t="str">
        <f>"9780128101568"</f>
        <v>9780128101568</v>
      </c>
      <c r="C833">
        <v>261</v>
      </c>
      <c r="D833" t="str">
        <f t="shared" si="56"/>
        <v>USD</v>
      </c>
      <c r="E833" t="str">
        <f>"2017"</f>
        <v>2017</v>
      </c>
      <c r="F833" t="str">
        <f>"Brahmachari"</f>
        <v>Brahmachari</v>
      </c>
      <c r="G833" t="str">
        <f>"dehkadehketab"</f>
        <v>dehkadehketab</v>
      </c>
    </row>
    <row r="834" spans="1:7" x14ac:dyDescent="0.25">
      <c r="A834" t="str">
        <f>"Greene's Protective Groups in Organic Synthesis,5e"</f>
        <v>Greene's Protective Groups in Organic Synthesis,5e</v>
      </c>
      <c r="B834" t="str">
        <f>"9781118057483"</f>
        <v>9781118057483</v>
      </c>
      <c r="C834">
        <v>77.2</v>
      </c>
      <c r="D834" t="str">
        <f t="shared" si="56"/>
        <v>USD</v>
      </c>
      <c r="E834" t="str">
        <f>"2014"</f>
        <v>2014</v>
      </c>
      <c r="F834" t="str">
        <f>"Wuts"</f>
        <v>Wuts</v>
      </c>
      <c r="G834" t="str">
        <f>"avanddanesh"</f>
        <v>avanddanesh</v>
      </c>
    </row>
    <row r="835" spans="1:7" x14ac:dyDescent="0.25">
      <c r="A835" t="str">
        <f>"Greening of Petroleum Operations: The Science of Sustainable Energy Production?"</f>
        <v>Greening of Petroleum Operations: The Science of Sustainable Energy Production?</v>
      </c>
      <c r="B835" t="str">
        <f>"9780470625903"</f>
        <v>9780470625903</v>
      </c>
      <c r="C835">
        <v>200.34</v>
      </c>
      <c r="D835" t="str">
        <f t="shared" si="56"/>
        <v>USD</v>
      </c>
      <c r="E835" t="str">
        <f>"2010"</f>
        <v>2010</v>
      </c>
      <c r="F835" t="str">
        <f>"Islam"</f>
        <v>Islam</v>
      </c>
      <c r="G835" t="str">
        <f>"safirketab"</f>
        <v>safirketab</v>
      </c>
    </row>
    <row r="836" spans="1:7" x14ac:dyDescent="0.25">
      <c r="A836" t="str">
        <f>"Group 13 Metals Aluminium, Gallium, Indium and Thallium: Chemical Patterns and Peculiarities"</f>
        <v>Group 13 Metals Aluminium, Gallium, Indium and Thallium: Chemical Patterns and Peculiarities</v>
      </c>
      <c r="B836" t="str">
        <f>"9780470681916"</f>
        <v>9780470681916</v>
      </c>
      <c r="C836">
        <v>90</v>
      </c>
      <c r="D836" t="str">
        <f t="shared" si="56"/>
        <v>USD</v>
      </c>
      <c r="E836" t="str">
        <f>"2011"</f>
        <v>2011</v>
      </c>
      <c r="F836" t="str">
        <f>"Aldridge"</f>
        <v>Aldridge</v>
      </c>
      <c r="G836" t="str">
        <f>"safirketab"</f>
        <v>safirketab</v>
      </c>
    </row>
    <row r="837" spans="1:7" x14ac:dyDescent="0.25">
      <c r="A837" t="str">
        <f>"Group 13 Metals Aluminium, Gallium, Indium and Thallium: Chemical Patterns and Peculiarities"</f>
        <v>Group 13 Metals Aluminium, Gallium, Indium and Thallium: Chemical Patterns and Peculiarities</v>
      </c>
      <c r="B837" t="str">
        <f>"9780470681916"</f>
        <v>9780470681916</v>
      </c>
      <c r="C837">
        <v>90</v>
      </c>
      <c r="D837" t="str">
        <f t="shared" si="56"/>
        <v>USD</v>
      </c>
      <c r="E837" t="str">
        <f>"2011"</f>
        <v>2011</v>
      </c>
      <c r="F837" t="str">
        <f>"Aldridge"</f>
        <v>Aldridge</v>
      </c>
      <c r="G837" t="str">
        <f>"avanddanesh"</f>
        <v>avanddanesh</v>
      </c>
    </row>
    <row r="838" spans="1:7" x14ac:dyDescent="0.25">
      <c r="A838" t="str">
        <f>"Group Theory of Chemical Elements: Structure and Properties of Elements and Compounds (de Gruyter Studies in Mathematical Physics)"</f>
        <v>Group Theory of Chemical Elements: Structure and Properties of Elements and Compounds (de Gruyter Studies in Mathematical Physics)</v>
      </c>
      <c r="B838" t="str">
        <f>"9783110475180"</f>
        <v>9783110475180</v>
      </c>
      <c r="C838">
        <v>102</v>
      </c>
      <c r="D838" t="str">
        <f>"EUR"</f>
        <v>EUR</v>
      </c>
      <c r="E838" t="str">
        <f>"2016"</f>
        <v>2016</v>
      </c>
      <c r="F838" t="str">
        <f>"Abram I Fet,Vladimi"</f>
        <v>Abram I Fet,Vladimi</v>
      </c>
      <c r="G838" t="str">
        <f>"AsarBartar"</f>
        <v>AsarBartar</v>
      </c>
    </row>
    <row r="839" spans="1:7" x14ac:dyDescent="0.25">
      <c r="A839" t="str">
        <f>"Guide to Fluorine NMR for Organic Chemists"</f>
        <v>Guide to Fluorine NMR for Organic Chemists</v>
      </c>
      <c r="B839" t="str">
        <f>"9780470193419"</f>
        <v>9780470193419</v>
      </c>
      <c r="C839">
        <v>76.23</v>
      </c>
      <c r="D839" t="str">
        <f t="shared" ref="D839:D852" si="57">"USD"</f>
        <v>USD</v>
      </c>
      <c r="E839" t="str">
        <f>"2009"</f>
        <v>2009</v>
      </c>
      <c r="F839" t="str">
        <f>"Dolbier"</f>
        <v>Dolbier</v>
      </c>
      <c r="G839" t="str">
        <f>"safirketab"</f>
        <v>safirketab</v>
      </c>
    </row>
    <row r="840" spans="1:7" x14ac:dyDescent="0.25">
      <c r="A840" t="str">
        <f>"Guide to Fluorine NMR for Organic Chemists,2e"</f>
        <v>Guide to Fluorine NMR for Organic Chemists,2e</v>
      </c>
      <c r="B840" t="str">
        <f>"9781118831083"</f>
        <v>9781118831083</v>
      </c>
      <c r="C840">
        <v>106.3</v>
      </c>
      <c r="D840" t="str">
        <f t="shared" si="57"/>
        <v>USD</v>
      </c>
      <c r="E840" t="str">
        <f>"2016"</f>
        <v>2016</v>
      </c>
      <c r="F840" t="str">
        <f>"Dolbier"</f>
        <v>Dolbier</v>
      </c>
      <c r="G840" t="str">
        <f t="shared" ref="G840:G852" si="58">"avanddanesh"</f>
        <v>avanddanesh</v>
      </c>
    </row>
    <row r="841" spans="1:7" x14ac:dyDescent="0.25">
      <c r="A841" t="str">
        <f>"Guide to Forensic DNA Profiling"</f>
        <v>Guide to Forensic DNA Profiling</v>
      </c>
      <c r="B841" t="str">
        <f>"9781118751527"</f>
        <v>9781118751527</v>
      </c>
      <c r="C841">
        <v>97.8</v>
      </c>
      <c r="D841" t="str">
        <f t="shared" si="57"/>
        <v>USD</v>
      </c>
      <c r="E841" t="str">
        <f>"2016"</f>
        <v>2016</v>
      </c>
      <c r="F841" t="str">
        <f>"Jamieson"</f>
        <v>Jamieson</v>
      </c>
      <c r="G841" t="str">
        <f t="shared" si="58"/>
        <v>avanddanesh</v>
      </c>
    </row>
    <row r="842" spans="1:7" x14ac:dyDescent="0.25">
      <c r="A842" t="str">
        <f>"Guide to Zona Pellucida Domain Proteins"</f>
        <v>Guide to Zona Pellucida Domain Proteins</v>
      </c>
      <c r="B842" t="str">
        <f>"9780470528112"</f>
        <v>9780470528112</v>
      </c>
      <c r="C842">
        <v>136</v>
      </c>
      <c r="D842" t="str">
        <f t="shared" si="57"/>
        <v>USD</v>
      </c>
      <c r="E842" t="str">
        <f>"2015"</f>
        <v>2015</v>
      </c>
      <c r="F842" t="str">
        <f>"Litscher"</f>
        <v>Litscher</v>
      </c>
      <c r="G842" t="str">
        <f t="shared" si="58"/>
        <v>avanddanesh</v>
      </c>
    </row>
    <row r="843" spans="1:7" x14ac:dyDescent="0.25">
      <c r="A843" t="str">
        <f>"Guided Inquiry Experiments for General Chemistry: Practical Problems and Applications, 1st Edition"</f>
        <v>Guided Inquiry Experiments for General Chemistry: Practical Problems and Applications, 1st Edition</v>
      </c>
      <c r="B843" t="str">
        <f>"9780471698425"</f>
        <v>9780471698425</v>
      </c>
      <c r="C843">
        <v>21</v>
      </c>
      <c r="D843" t="str">
        <f t="shared" si="57"/>
        <v>USD</v>
      </c>
      <c r="E843" t="str">
        <f>"2007"</f>
        <v>2007</v>
      </c>
      <c r="F843" t="str">
        <f>"Kerner"</f>
        <v>Kerner</v>
      </c>
      <c r="G843" t="str">
        <f t="shared" si="58"/>
        <v>avanddanesh</v>
      </c>
    </row>
    <row r="844" spans="1:7" x14ac:dyDescent="0.25">
      <c r="A844" t="str">
        <f>"Guidelines for Asset Integrity Management"</f>
        <v>Guidelines for Asset Integrity Management</v>
      </c>
      <c r="B844" t="str">
        <f>"9781119010142"</f>
        <v>9781119010142</v>
      </c>
      <c r="C844">
        <v>127.5</v>
      </c>
      <c r="D844" t="str">
        <f t="shared" si="57"/>
        <v>USD</v>
      </c>
      <c r="E844" t="str">
        <f>"2016"</f>
        <v>2016</v>
      </c>
      <c r="F844" t="str">
        <f t="shared" ref="F844:F852" si="59">"CCPS"</f>
        <v>CCPS</v>
      </c>
      <c r="G844" t="str">
        <f t="shared" si="58"/>
        <v>avanddanesh</v>
      </c>
    </row>
    <row r="845" spans="1:7" x14ac:dyDescent="0.25">
      <c r="A845" t="str">
        <f>"Guidelines for Combustible Dust Hazard Analysis"</f>
        <v>Guidelines for Combustible Dust Hazard Analysis</v>
      </c>
      <c r="B845" t="str">
        <f>"9781119010166"</f>
        <v>9781119010166</v>
      </c>
      <c r="C845">
        <v>112.5</v>
      </c>
      <c r="D845" t="str">
        <f t="shared" si="57"/>
        <v>USD</v>
      </c>
      <c r="E845" t="str">
        <f>"2017"</f>
        <v>2017</v>
      </c>
      <c r="F845" t="str">
        <f t="shared" si="59"/>
        <v>CCPS</v>
      </c>
      <c r="G845" t="str">
        <f t="shared" si="58"/>
        <v>avanddanesh</v>
      </c>
    </row>
    <row r="846" spans="1:7" x14ac:dyDescent="0.25">
      <c r="A846" t="str">
        <f>"Guidelines for Defining Process Safety Competency Requirements"</f>
        <v>Guidelines for Defining Process Safety Competency Requirements</v>
      </c>
      <c r="B846" t="str">
        <f>"9781118795224"</f>
        <v>9781118795224</v>
      </c>
      <c r="C846">
        <v>72</v>
      </c>
      <c r="D846" t="str">
        <f t="shared" si="57"/>
        <v>USD</v>
      </c>
      <c r="E846" t="str">
        <f>"2015"</f>
        <v>2015</v>
      </c>
      <c r="F846" t="str">
        <f t="shared" si="59"/>
        <v>CCPS</v>
      </c>
      <c r="G846" t="str">
        <f t="shared" si="58"/>
        <v>avanddanesh</v>
      </c>
    </row>
    <row r="847" spans="1:7" x14ac:dyDescent="0.25">
      <c r="A847" t="str">
        <f>"Guidelines for Determining the Probability of Ignition of a Released Flammable Mass"</f>
        <v>Guidelines for Determining the Probability of Ignition of a Released Flammable Mass</v>
      </c>
      <c r="B847" t="str">
        <f>"9781118230534"</f>
        <v>9781118230534</v>
      </c>
      <c r="C847">
        <v>77.2</v>
      </c>
      <c r="D847" t="str">
        <f t="shared" si="57"/>
        <v>USD</v>
      </c>
      <c r="E847" t="str">
        <f>"2014"</f>
        <v>2014</v>
      </c>
      <c r="F847" t="str">
        <f t="shared" si="59"/>
        <v>CCPS</v>
      </c>
      <c r="G847" t="str">
        <f t="shared" si="58"/>
        <v>avanddanesh</v>
      </c>
    </row>
    <row r="848" spans="1:7" x14ac:dyDescent="0.25">
      <c r="A848" t="str">
        <f>"Guidelines for Enabling Conditions and Conditional Modifiers in Layer of Protection Analysis"</f>
        <v>Guidelines for Enabling Conditions and Conditional Modifiers in Layer of Protection Analysis</v>
      </c>
      <c r="B848" t="str">
        <f>"9781118777930"</f>
        <v>9781118777930</v>
      </c>
      <c r="C848">
        <v>62.4</v>
      </c>
      <c r="D848" t="str">
        <f t="shared" si="57"/>
        <v>USD</v>
      </c>
      <c r="E848" t="str">
        <f>"2013"</f>
        <v>2013</v>
      </c>
      <c r="F848" t="str">
        <f t="shared" si="59"/>
        <v>CCPS</v>
      </c>
      <c r="G848" t="str">
        <f t="shared" si="58"/>
        <v>avanddanesh</v>
      </c>
    </row>
    <row r="849" spans="1:7" x14ac:dyDescent="0.25">
      <c r="A849" t="str">
        <f>"Guidelines for Initiating Events and Independent Protection Layers in Layer of Protection Analysis"</f>
        <v>Guidelines for Initiating Events and Independent Protection Layers in Layer of Protection Analysis</v>
      </c>
      <c r="B849" t="str">
        <f>"9780470343852"</f>
        <v>9780470343852</v>
      </c>
      <c r="C849">
        <v>91.2</v>
      </c>
      <c r="D849" t="str">
        <f t="shared" si="57"/>
        <v>USD</v>
      </c>
      <c r="E849" t="str">
        <f>"2015"</f>
        <v>2015</v>
      </c>
      <c r="F849" t="str">
        <f t="shared" si="59"/>
        <v>CCPS</v>
      </c>
      <c r="G849" t="str">
        <f t="shared" si="58"/>
        <v>avanddanesh</v>
      </c>
    </row>
    <row r="850" spans="1:7" x14ac:dyDescent="0.25">
      <c r="A850" t="str">
        <f>"Guidelines for Integrating Management Systems and Metrics to Improve Process Safety Performance"</f>
        <v>Guidelines for Integrating Management Systems and Metrics to Improve Process Safety Performance</v>
      </c>
      <c r="B850" t="str">
        <f>"9781118795033"</f>
        <v>9781118795033</v>
      </c>
      <c r="C850">
        <v>85</v>
      </c>
      <c r="D850" t="str">
        <f t="shared" si="57"/>
        <v>USD</v>
      </c>
      <c r="E850" t="str">
        <f>"2016"</f>
        <v>2016</v>
      </c>
      <c r="F850" t="str">
        <f t="shared" si="59"/>
        <v>CCPS</v>
      </c>
      <c r="G850" t="str">
        <f t="shared" si="58"/>
        <v>avanddanesh</v>
      </c>
    </row>
    <row r="851" spans="1:7" x14ac:dyDescent="0.25">
      <c r="A851" t="str">
        <f>"Guidelines for Pressure Relief and Effluent Handling Systems,2e"</f>
        <v>Guidelines for Pressure Relief and Effluent Handling Systems,2e</v>
      </c>
      <c r="B851" t="str">
        <f>"9780470767733"</f>
        <v>9780470767733</v>
      </c>
      <c r="C851">
        <v>288</v>
      </c>
      <c r="D851" t="str">
        <f t="shared" si="57"/>
        <v>USD</v>
      </c>
      <c r="E851" t="str">
        <f>"2017"</f>
        <v>2017</v>
      </c>
      <c r="F851" t="str">
        <f t="shared" si="59"/>
        <v>CCPS</v>
      </c>
      <c r="G851" t="str">
        <f t="shared" si="58"/>
        <v>avanddanesh</v>
      </c>
    </row>
    <row r="852" spans="1:7" x14ac:dyDescent="0.25">
      <c r="A852" t="str">
        <f>"Guidelines for Safe Automation of Chemical Processes,2e"</f>
        <v>Guidelines for Safe Automation of Chemical Processes,2e</v>
      </c>
      <c r="B852" t="str">
        <f>"9781118949498"</f>
        <v>9781118949498</v>
      </c>
      <c r="C852">
        <v>165.8</v>
      </c>
      <c r="D852" t="str">
        <f t="shared" si="57"/>
        <v>USD</v>
      </c>
      <c r="E852" t="str">
        <f>"2016"</f>
        <v>2016</v>
      </c>
      <c r="F852" t="str">
        <f t="shared" si="59"/>
        <v>CCPS</v>
      </c>
      <c r="G852" t="str">
        <f t="shared" si="58"/>
        <v>avanddanesh</v>
      </c>
    </row>
    <row r="853" spans="1:7" x14ac:dyDescent="0.25">
      <c r="A853" t="str">
        <f>"Gums and Stabilisers for the Food Industry 17: The Changing Face of Food Manufacture: The Role of Hydrocolloids"</f>
        <v>Gums and Stabilisers for the Food Industry 17: The Changing Face of Food Manufacture: The Role of Hydrocolloids</v>
      </c>
      <c r="B853" t="str">
        <f>"9781849738835"</f>
        <v>9781849738835</v>
      </c>
      <c r="C853">
        <v>66</v>
      </c>
      <c r="D853" t="str">
        <f>"GBP"</f>
        <v>GBP</v>
      </c>
      <c r="E853" t="str">
        <f>"2014"</f>
        <v>2014</v>
      </c>
      <c r="F853" t="str">
        <f>"Peter Williams(Edito"</f>
        <v>Peter Williams(Edito</v>
      </c>
      <c r="G853" t="str">
        <f>"arzinbooks"</f>
        <v>arzinbooks</v>
      </c>
    </row>
    <row r="854" spans="1:7" x14ac:dyDescent="0.25">
      <c r="A854" t="str">
        <f>"Halogen Bonding I: Impact on Materials Chemistry and Life Sciences"</f>
        <v>Halogen Bonding I: Impact on Materials Chemistry and Life Sciences</v>
      </c>
      <c r="B854" t="str">
        <f>"9783319140568"</f>
        <v>9783319140568</v>
      </c>
      <c r="C854">
        <v>224.99</v>
      </c>
      <c r="D854" t="str">
        <f>"EUR"</f>
        <v>EUR</v>
      </c>
      <c r="E854" t="str">
        <f>"2015"</f>
        <v>2015</v>
      </c>
      <c r="F854" t="str">
        <f>"Metrangolo"</f>
        <v>Metrangolo</v>
      </c>
      <c r="G854" t="str">
        <f>"negarestanabi"</f>
        <v>negarestanabi</v>
      </c>
    </row>
    <row r="855" spans="1:7" x14ac:dyDescent="0.25">
      <c r="A855" t="str">
        <f>"Halogen Bonding II: Impact on Materials Chemistry and Life Sciences"</f>
        <v>Halogen Bonding II: Impact on Materials Chemistry and Life Sciences</v>
      </c>
      <c r="B855" t="str">
        <f>"9783319157313"</f>
        <v>9783319157313</v>
      </c>
      <c r="C855">
        <v>224.99</v>
      </c>
      <c r="D855" t="str">
        <f>"EUR"</f>
        <v>EUR</v>
      </c>
      <c r="E855" t="str">
        <f>"2015"</f>
        <v>2015</v>
      </c>
      <c r="F855" t="str">
        <f>"Metrangolo"</f>
        <v>Metrangolo</v>
      </c>
      <c r="G855" t="str">
        <f>"negarestanabi"</f>
        <v>negarestanabi</v>
      </c>
    </row>
    <row r="856" spans="1:7" x14ac:dyDescent="0.25">
      <c r="A856" t="str">
        <f>"Handbook for DNA-Encoded Chemistry: Theory and Applications for Exploring Chemical Space and DrugDiscovery"</f>
        <v>Handbook for DNA-Encoded Chemistry: Theory and Applications for Exploring Chemical Space and DrugDiscovery</v>
      </c>
      <c r="B856" t="str">
        <f>"9781118487686"</f>
        <v>9781118487686</v>
      </c>
      <c r="C856">
        <v>96.8</v>
      </c>
      <c r="D856" t="str">
        <f t="shared" ref="D856:D864" si="60">"USD"</f>
        <v>USD</v>
      </c>
      <c r="E856" t="str">
        <f>"2014"</f>
        <v>2014</v>
      </c>
      <c r="F856" t="str">
        <f>"Goodnow"</f>
        <v>Goodnow</v>
      </c>
      <c r="G856" t="str">
        <f>"avanddanesh"</f>
        <v>avanddanesh</v>
      </c>
    </row>
    <row r="857" spans="1:7" x14ac:dyDescent="0.25">
      <c r="A857" t="str">
        <f>"Handbook of Adhesion Promoters"</f>
        <v>Handbook of Adhesion Promoters</v>
      </c>
      <c r="B857" t="str">
        <f>"9781927885277"</f>
        <v>9781927885277</v>
      </c>
      <c r="C857">
        <v>256.5</v>
      </c>
      <c r="D857" t="str">
        <f t="shared" si="60"/>
        <v>USD</v>
      </c>
      <c r="E857" t="str">
        <f>"2018"</f>
        <v>2018</v>
      </c>
      <c r="F857" t="str">
        <f>"Wypych"</f>
        <v>Wypych</v>
      </c>
      <c r="G857" t="str">
        <f>"dehkadehketab"</f>
        <v>dehkadehketab</v>
      </c>
    </row>
    <row r="858" spans="1:7" x14ac:dyDescent="0.25">
      <c r="A858" t="str">
        <f>"Handbook of Alkali-Activated Cements, Mortars and Concretes"</f>
        <v>Handbook of Alkali-Activated Cements, Mortars and Concretes</v>
      </c>
      <c r="B858" t="str">
        <f>"9780081013946"</f>
        <v>9780081013946</v>
      </c>
      <c r="C858">
        <v>315</v>
      </c>
      <c r="D858" t="str">
        <f t="shared" si="60"/>
        <v>USD</v>
      </c>
      <c r="E858" t="str">
        <f>"2017"</f>
        <v>2017</v>
      </c>
      <c r="F858" t="str">
        <f>"Pacheco-Torgal et al"</f>
        <v>Pacheco-Torgal et al</v>
      </c>
      <c r="G858" t="str">
        <f>"dehkadehketab"</f>
        <v>dehkadehketab</v>
      </c>
    </row>
    <row r="859" spans="1:7" x14ac:dyDescent="0.25">
      <c r="A859" t="str">
        <f>"HANDBOOK OF BIO-CHEMISTRY, HB"</f>
        <v>HANDBOOK OF BIO-CHEMISTRY, HB</v>
      </c>
      <c r="B859" t="str">
        <f>"9781926686561"</f>
        <v>9781926686561</v>
      </c>
      <c r="C859">
        <v>91</v>
      </c>
      <c r="D859" t="str">
        <f t="shared" si="60"/>
        <v>USD</v>
      </c>
      <c r="E859" t="str">
        <f>"2010"</f>
        <v>2010</v>
      </c>
      <c r="F859" t="str">
        <f>"Holt"</f>
        <v>Holt</v>
      </c>
      <c r="G859" t="str">
        <f>"supply"</f>
        <v>supply</v>
      </c>
    </row>
    <row r="860" spans="1:7" x14ac:dyDescent="0.25">
      <c r="A860" t="str">
        <f>"Handbook of Biomineralization, 3V Set"</f>
        <v>Handbook of Biomineralization, 3V Set</v>
      </c>
      <c r="B860" t="str">
        <f>"9783527316410"</f>
        <v>9783527316410</v>
      </c>
      <c r="C860">
        <v>346</v>
      </c>
      <c r="D860" t="str">
        <f t="shared" si="60"/>
        <v>USD</v>
      </c>
      <c r="E860" t="str">
        <f>"2007"</f>
        <v>2007</v>
      </c>
      <c r="F860" t="str">
        <f>"Buerlein"</f>
        <v>Buerlein</v>
      </c>
      <c r="G860" t="str">
        <f>"avanddanesh"</f>
        <v>avanddanesh</v>
      </c>
    </row>
    <row r="861" spans="1:7" x14ac:dyDescent="0.25">
      <c r="A861" t="str">
        <f>"Handbook of Biomineralization: Biological Aspects and Structure Formation"</f>
        <v>Handbook of Biomineralization: Biological Aspects and Structure Formation</v>
      </c>
      <c r="B861" t="str">
        <f>"9783527318049"</f>
        <v>9783527318049</v>
      </c>
      <c r="C861">
        <v>124</v>
      </c>
      <c r="D861" t="str">
        <f t="shared" si="60"/>
        <v>USD</v>
      </c>
      <c r="E861" t="str">
        <f>"2009"</f>
        <v>2009</v>
      </c>
      <c r="F861" t="str">
        <f>"Buerlein"</f>
        <v>Buerlein</v>
      </c>
      <c r="G861" t="str">
        <f>"avanddanesh"</f>
        <v>avanddanesh</v>
      </c>
    </row>
    <row r="862" spans="1:7" x14ac:dyDescent="0.25">
      <c r="A862" t="str">
        <f>"Handbook of Bioprocessing"</f>
        <v>Handbook of Bioprocessing</v>
      </c>
      <c r="B862" t="str">
        <f>"9780081005934"</f>
        <v>9780081005934</v>
      </c>
      <c r="C862">
        <v>256.5</v>
      </c>
      <c r="D862" t="str">
        <f t="shared" si="60"/>
        <v>USD</v>
      </c>
      <c r="E862" t="str">
        <f>"2017"</f>
        <v>2017</v>
      </c>
      <c r="F862" t="str">
        <f>"Jagschies, Gunter"</f>
        <v>Jagschies, Gunter</v>
      </c>
      <c r="G862" t="str">
        <f>"dehkadehketab"</f>
        <v>dehkadehketab</v>
      </c>
    </row>
    <row r="863" spans="1:7" x14ac:dyDescent="0.25">
      <c r="A863" t="str">
        <f>"Handbook of Chemical and Biological Plant Analytical Methods,3V Set"</f>
        <v>Handbook of Chemical and Biological Plant Analytical Methods,3V Set</v>
      </c>
      <c r="B863" t="str">
        <f>"9781119952756"</f>
        <v>9781119952756</v>
      </c>
      <c r="C863">
        <v>465</v>
      </c>
      <c r="D863" t="str">
        <f t="shared" si="60"/>
        <v>USD</v>
      </c>
      <c r="E863" t="str">
        <f>"2014"</f>
        <v>2014</v>
      </c>
      <c r="F863" t="str">
        <f>"Hostettmann"</f>
        <v>Hostettmann</v>
      </c>
      <c r="G863" t="str">
        <f>"avanddanesh"</f>
        <v>avanddanesh</v>
      </c>
    </row>
    <row r="864" spans="1:7" x14ac:dyDescent="0.25">
      <c r="A864" t="str">
        <f>"Handbook of Chemical Glycosylation: Advances in Stereoselectivity and Therapeutic Relevance"</f>
        <v>Handbook of Chemical Glycosylation: Advances in Stereoselectivity and Therapeutic Relevance</v>
      </c>
      <c r="B864" t="str">
        <f>"9783527317806"</f>
        <v>9783527317806</v>
      </c>
      <c r="C864">
        <v>119.2</v>
      </c>
      <c r="D864" t="str">
        <f t="shared" si="60"/>
        <v>USD</v>
      </c>
      <c r="E864" t="str">
        <f>"2008"</f>
        <v>2008</v>
      </c>
      <c r="F864" t="str">
        <f>"Demchenko"</f>
        <v>Demchenko</v>
      </c>
      <c r="G864" t="str">
        <f>"avanddanesh"</f>
        <v>avanddanesh</v>
      </c>
    </row>
    <row r="865" spans="1:7" x14ac:dyDescent="0.25">
      <c r="A865" t="str">
        <f>"HANDBOOK OF CHEMOINFORMATICS ALGORITHMS"</f>
        <v>HANDBOOK OF CHEMOINFORMATICS ALGORITHMS</v>
      </c>
      <c r="B865" t="str">
        <f>"9781420082920"</f>
        <v>9781420082920</v>
      </c>
      <c r="C865">
        <v>19.190000000000001</v>
      </c>
      <c r="D865" t="str">
        <f>"GBP"</f>
        <v>GBP</v>
      </c>
      <c r="E865" t="str">
        <f>"2010"</f>
        <v>2010</v>
      </c>
      <c r="F865" t="str">
        <f>"FAULON, JEAN-LOUP |"</f>
        <v>FAULON, JEAN-LOUP |</v>
      </c>
      <c r="G865" t="str">
        <f>"AsarBartar"</f>
        <v>AsarBartar</v>
      </c>
    </row>
    <row r="866" spans="1:7" x14ac:dyDescent="0.25">
      <c r="A866" t="str">
        <f>"Handbook of Clean Energy Systems, 6V Set"</f>
        <v>Handbook of Clean Energy Systems, 6V Set</v>
      </c>
      <c r="B866" t="str">
        <f>"9781118388587"</f>
        <v>9781118388587</v>
      </c>
      <c r="C866">
        <v>1400</v>
      </c>
      <c r="D866" t="str">
        <f>"USD"</f>
        <v>USD</v>
      </c>
      <c r="E866" t="str">
        <f>"2015"</f>
        <v>2015</v>
      </c>
      <c r="F866" t="str">
        <f>"Yan"</f>
        <v>Yan</v>
      </c>
      <c r="G866" t="str">
        <f>"avanddanesh"</f>
        <v>avanddanesh</v>
      </c>
    </row>
    <row r="867" spans="1:7" x14ac:dyDescent="0.25">
      <c r="A867" t="str">
        <f>"Handbook of Computational Chemistry. 2/ed"</f>
        <v>Handbook of Computational Chemistry. 2/ed</v>
      </c>
      <c r="B867" t="str">
        <f>"9783319272818"</f>
        <v>9783319272818</v>
      </c>
      <c r="C867">
        <v>854.99</v>
      </c>
      <c r="D867" t="str">
        <f>"EUR"</f>
        <v>EUR</v>
      </c>
      <c r="E867" t="str">
        <f>"2017"</f>
        <v>2017</v>
      </c>
      <c r="F867" t="str">
        <f>"Leszczynski"</f>
        <v>Leszczynski</v>
      </c>
      <c r="G867" t="str">
        <f>"negarestanabi"</f>
        <v>negarestanabi</v>
      </c>
    </row>
    <row r="868" spans="1:7" x14ac:dyDescent="0.25">
      <c r="A868" t="str">
        <f>"Handbook of Cyanobacterial Monitoring and Cyanotoxin Analysis"</f>
        <v>Handbook of Cyanobacterial Monitoring and Cyanotoxin Analysis</v>
      </c>
      <c r="B868" t="str">
        <f>"9781119068686"</f>
        <v>9781119068686</v>
      </c>
      <c r="C868">
        <v>157.5</v>
      </c>
      <c r="D868" t="str">
        <f>"USD"</f>
        <v>USD</v>
      </c>
      <c r="E868" t="str">
        <f>"2017"</f>
        <v>2017</v>
      </c>
      <c r="F868" t="str">
        <f>"Meriluoto"</f>
        <v>Meriluoto</v>
      </c>
      <c r="G868" t="str">
        <f>"avanddanesh"</f>
        <v>avanddanesh</v>
      </c>
    </row>
    <row r="869" spans="1:7" x14ac:dyDescent="0.25">
      <c r="A869" t="str">
        <f>"Handbook of Essential Oils: Science, Technology, and Applications, Second Edition"</f>
        <v>Handbook of Essential Oils: Science, Technology, and Applications, Second Edition</v>
      </c>
      <c r="B869" t="str">
        <f>"9781466590465"</f>
        <v>9781466590465</v>
      </c>
      <c r="C869">
        <v>115.6</v>
      </c>
      <c r="D869" t="str">
        <f>"GBP"</f>
        <v>GBP</v>
      </c>
      <c r="E869" t="str">
        <f>"2016"</f>
        <v>2016</v>
      </c>
      <c r="F869" t="str">
        <f>"K. Husnu Can Baser("</f>
        <v>K. Husnu Can Baser(</v>
      </c>
      <c r="G869" t="str">
        <f>"AsarBartar"</f>
        <v>AsarBartar</v>
      </c>
    </row>
    <row r="870" spans="1:7" x14ac:dyDescent="0.25">
      <c r="A870" t="str">
        <f>"Handbook of Flotation Reagents: Chemistry, Theory and Practice, Volume 3: Flotation of Industrial Minerals"</f>
        <v>Handbook of Flotation Reagents: Chemistry, Theory and Practice, Volume 3: Flotation of Industrial Minerals</v>
      </c>
      <c r="B870" t="str">
        <f>"9780444638359"</f>
        <v>9780444638359</v>
      </c>
      <c r="C870">
        <v>220.5</v>
      </c>
      <c r="D870" t="str">
        <f>"USD"</f>
        <v>USD</v>
      </c>
      <c r="E870" t="str">
        <f>"2017"</f>
        <v>2017</v>
      </c>
      <c r="F870" t="str">
        <f>"Bulatovic"</f>
        <v>Bulatovic</v>
      </c>
      <c r="G870" t="str">
        <f>"dehkadehketab"</f>
        <v>dehkadehketab</v>
      </c>
    </row>
    <row r="871" spans="1:7" x14ac:dyDescent="0.25">
      <c r="A871" t="str">
        <f>"Handbook of Foaming and Blowing Agents"</f>
        <v>Handbook of Foaming and Blowing Agents</v>
      </c>
      <c r="B871" t="str">
        <f>"9781895198980"</f>
        <v>9781895198980</v>
      </c>
      <c r="C871">
        <v>256.5</v>
      </c>
      <c r="D871" t="str">
        <f>"USD"</f>
        <v>USD</v>
      </c>
      <c r="E871" t="str">
        <f>"2017"</f>
        <v>2017</v>
      </c>
      <c r="F871" t="str">
        <f>"Wypych"</f>
        <v>Wypych</v>
      </c>
      <c r="G871" t="str">
        <f>"dehkadehketab"</f>
        <v>dehkadehketab</v>
      </c>
    </row>
    <row r="872" spans="1:7" x14ac:dyDescent="0.25">
      <c r="A872" t="str">
        <f>"Handbook of Forensic Medicine"</f>
        <v>Handbook of Forensic Medicine</v>
      </c>
      <c r="B872" t="str">
        <f>"9780470979990"</f>
        <v>9780470979990</v>
      </c>
      <c r="C872">
        <v>240</v>
      </c>
      <c r="D872" t="str">
        <f>"USD"</f>
        <v>USD</v>
      </c>
      <c r="E872" t="str">
        <f>"2014"</f>
        <v>2014</v>
      </c>
      <c r="F872" t="str">
        <f>"Madea"</f>
        <v>Madea</v>
      </c>
      <c r="G872" t="str">
        <f>"avanddanesh"</f>
        <v>avanddanesh</v>
      </c>
    </row>
    <row r="873" spans="1:7" x14ac:dyDescent="0.25">
      <c r="A873" t="str">
        <f>"Handbook of Friction-Vibration Interactions"</f>
        <v>Handbook of Friction-Vibration Interactions</v>
      </c>
      <c r="B873" t="str">
        <f>"9780081013649"</f>
        <v>9780081013649</v>
      </c>
      <c r="C873">
        <v>216</v>
      </c>
      <c r="D873" t="str">
        <f>"USD"</f>
        <v>USD</v>
      </c>
      <c r="E873" t="str">
        <f>"2017"</f>
        <v>2017</v>
      </c>
      <c r="F873" t="str">
        <f>"Chen"</f>
        <v>Chen</v>
      </c>
      <c r="G873" t="str">
        <f>"dehkadehketab"</f>
        <v>dehkadehketab</v>
      </c>
    </row>
    <row r="874" spans="1:7" x14ac:dyDescent="0.25">
      <c r="A874" t="str">
        <f>"Handbook of Hydrogen Storage - New Materials for Future Energy Storage"</f>
        <v>Handbook of Hydrogen Storage - New Materials for Future Energy Storage</v>
      </c>
      <c r="B874" t="str">
        <f>"9783527322732"</f>
        <v>9783527322732</v>
      </c>
      <c r="C874">
        <v>175.5</v>
      </c>
      <c r="D874" t="str">
        <f>"USD"</f>
        <v>USD</v>
      </c>
      <c r="E874" t="str">
        <f>"2010"</f>
        <v>2010</v>
      </c>
      <c r="F874" t="str">
        <f>"Hirscher"</f>
        <v>Hirscher</v>
      </c>
      <c r="G874" t="str">
        <f>"safirketab"</f>
        <v>safirketab</v>
      </c>
    </row>
    <row r="875" spans="1:7" x14ac:dyDescent="0.25">
      <c r="A875" t="str">
        <f>"HANDBOOK OF IMMUNOLOGICAL PROPERTIES OF ENGINEERED NANOMATERIALS"</f>
        <v>HANDBOOK OF IMMUNOLOGICAL PROPERTIES OF ENGINEERED NANOMATERIALS</v>
      </c>
      <c r="B875" t="str">
        <f>"9789814390255"</f>
        <v>9789814390255</v>
      </c>
      <c r="C875">
        <v>93.6</v>
      </c>
      <c r="D875" t="str">
        <f>"GBP"</f>
        <v>GBP</v>
      </c>
      <c r="E875" t="str">
        <f>"2013"</f>
        <v>2013</v>
      </c>
      <c r="F875" t="str">
        <f>"DOBROVOLSKAIA MARIN"</f>
        <v>DOBROVOLSKAIA MARIN</v>
      </c>
      <c r="G875" t="str">
        <f>"AsarBartar"</f>
        <v>AsarBartar</v>
      </c>
    </row>
    <row r="876" spans="1:7" x14ac:dyDescent="0.25">
      <c r="A876" t="str">
        <f>"Handbook of Ion Chromatography, 3V Set,4e"</f>
        <v>Handbook of Ion Chromatography, 3V Set,4e</v>
      </c>
      <c r="B876" t="str">
        <f>"9783527329281"</f>
        <v>9783527329281</v>
      </c>
      <c r="C876">
        <v>573.79999999999995</v>
      </c>
      <c r="D876" t="str">
        <f t="shared" ref="D876:D882" si="61">"USD"</f>
        <v>USD</v>
      </c>
      <c r="E876" t="str">
        <f>"2016"</f>
        <v>2016</v>
      </c>
      <c r="F876" t="str">
        <f>"Weiss"</f>
        <v>Weiss</v>
      </c>
      <c r="G876" t="str">
        <f>"avanddanesh"</f>
        <v>avanddanesh</v>
      </c>
    </row>
    <row r="877" spans="1:7" x14ac:dyDescent="0.25">
      <c r="A877" t="str">
        <f>"HANDBOOK OF LABORATORY INSTRUMENTATION, HB"</f>
        <v>HANDBOOK OF LABORATORY INSTRUMENTATION, HB</v>
      </c>
      <c r="B877" t="str">
        <f>"9789380199719"</f>
        <v>9789380199719</v>
      </c>
      <c r="C877">
        <v>21.77</v>
      </c>
      <c r="D877" t="str">
        <f t="shared" si="61"/>
        <v>USD</v>
      </c>
      <c r="E877" t="str">
        <f>"2010"</f>
        <v>2010</v>
      </c>
      <c r="F877" t="str">
        <f>"Goswami"</f>
        <v>Goswami</v>
      </c>
      <c r="G877" t="str">
        <f>"supply"</f>
        <v>supply</v>
      </c>
    </row>
    <row r="878" spans="1:7" x14ac:dyDescent="0.25">
      <c r="A878" t="str">
        <f>"Handbook of Laser-Induced Breakdown Spectroscopy,2e"</f>
        <v>Handbook of Laser-Induced Breakdown Spectroscopy,2e</v>
      </c>
      <c r="B878" t="str">
        <f>"9781119971122"</f>
        <v>9781119971122</v>
      </c>
      <c r="C878">
        <v>81.3</v>
      </c>
      <c r="D878" t="str">
        <f t="shared" si="61"/>
        <v>USD</v>
      </c>
      <c r="E878" t="str">
        <f>"2013"</f>
        <v>2013</v>
      </c>
      <c r="F878" t="str">
        <f>"Cremers"</f>
        <v>Cremers</v>
      </c>
      <c r="G878" t="str">
        <f>"avanddanesh"</f>
        <v>avanddanesh</v>
      </c>
    </row>
    <row r="879" spans="1:7" x14ac:dyDescent="0.25">
      <c r="A879" t="str">
        <f>"Handbook of LC-MS Bioanalysis: Best Practices, Experimental Protocols, and Regulations"</f>
        <v>Handbook of LC-MS Bioanalysis: Best Practices, Experimental Protocols, and Regulations</v>
      </c>
      <c r="B879" t="str">
        <f>"9781118159248"</f>
        <v>9781118159248</v>
      </c>
      <c r="C879">
        <v>104</v>
      </c>
      <c r="D879" t="str">
        <f t="shared" si="61"/>
        <v>USD</v>
      </c>
      <c r="E879" t="str">
        <f>"2013"</f>
        <v>2013</v>
      </c>
      <c r="F879" t="str">
        <f>"Li"</f>
        <v>Li</v>
      </c>
      <c r="G879" t="str">
        <f>"avanddanesh"</f>
        <v>avanddanesh</v>
      </c>
    </row>
    <row r="880" spans="1:7" x14ac:dyDescent="0.25">
      <c r="A880" t="str">
        <f>"Handbook of Liquid Crystals 8V Set"</f>
        <v>Handbook of Liquid Crystals 8V Set</v>
      </c>
      <c r="B880" t="str">
        <f>"9783527327737"</f>
        <v>9783527327737</v>
      </c>
      <c r="C880">
        <v>1766.3</v>
      </c>
      <c r="D880" t="str">
        <f t="shared" si="61"/>
        <v>USD</v>
      </c>
      <c r="E880" t="str">
        <f>"2014"</f>
        <v>2014</v>
      </c>
      <c r="F880" t="str">
        <f>"Goodby"</f>
        <v>Goodby</v>
      </c>
      <c r="G880" t="str">
        <f>"avanddanesh"</f>
        <v>avanddanesh</v>
      </c>
    </row>
    <row r="881" spans="1:7" x14ac:dyDescent="0.25">
      <c r="A881" t="str">
        <f>"Handbook of Loss Prevention Engineering, 2V Set"</f>
        <v>Handbook of Loss Prevention Engineering, 2V Set</v>
      </c>
      <c r="B881" t="str">
        <f>"9783527329953"</f>
        <v>9783527329953</v>
      </c>
      <c r="C881">
        <v>301.60000000000002</v>
      </c>
      <c r="D881" t="str">
        <f t="shared" si="61"/>
        <v>USD</v>
      </c>
      <c r="E881" t="str">
        <f>"2013"</f>
        <v>2013</v>
      </c>
      <c r="F881" t="str">
        <f>"Haight"</f>
        <v>Haight</v>
      </c>
      <c r="G881" t="str">
        <f>"avanddanesh"</f>
        <v>avanddanesh</v>
      </c>
    </row>
    <row r="882" spans="1:7" x14ac:dyDescent="0.25">
      <c r="A882" t="str">
        <f>"Handbook of Magnetic Resonance Spectroscopy In Vivo: MRS Theory, Practice and Applications"</f>
        <v>Handbook of Magnetic Resonance Spectroscopy In Vivo: MRS Theory, Practice and Applications</v>
      </c>
      <c r="B882" t="str">
        <f>"9781118997666"</f>
        <v>9781118997666</v>
      </c>
      <c r="C882">
        <v>170</v>
      </c>
      <c r="D882" t="str">
        <f t="shared" si="61"/>
        <v>USD</v>
      </c>
      <c r="E882" t="str">
        <f>"2016"</f>
        <v>2016</v>
      </c>
      <c r="F882" t="str">
        <f>"Bottomley"</f>
        <v>Bottomley</v>
      </c>
      <c r="G882" t="str">
        <f>"avanddanesh"</f>
        <v>avanddanesh</v>
      </c>
    </row>
    <row r="883" spans="1:7" x14ac:dyDescent="0.25">
      <c r="A883" t="str">
        <f>"Handbook of Maleic Anhydride Based Materials: Syntheses. Properties and Applications"</f>
        <v>Handbook of Maleic Anhydride Based Materials: Syntheses. Properties and Applications</v>
      </c>
      <c r="B883" t="str">
        <f>"9783319294537"</f>
        <v>9783319294537</v>
      </c>
      <c r="C883">
        <v>251.99</v>
      </c>
      <c r="D883" t="str">
        <f>"EUR"</f>
        <v>EUR</v>
      </c>
      <c r="E883" t="str">
        <f>"2016"</f>
        <v>2016</v>
      </c>
      <c r="F883" t="str">
        <f>"Musa"</f>
        <v>Musa</v>
      </c>
      <c r="G883" t="str">
        <f>"negarestanabi"</f>
        <v>negarestanabi</v>
      </c>
    </row>
    <row r="884" spans="1:7" x14ac:dyDescent="0.25">
      <c r="A884" t="str">
        <f>"Handbook of Material Weathering, 6th Edition"</f>
        <v>Handbook of Material Weathering, 6th Edition</v>
      </c>
      <c r="B884" t="str">
        <f>"9781927885291"</f>
        <v>9781927885291</v>
      </c>
      <c r="C884">
        <v>315</v>
      </c>
      <c r="D884" t="str">
        <f t="shared" ref="D884:D893" si="62">"USD"</f>
        <v>USD</v>
      </c>
      <c r="E884" t="str">
        <f>"2018"</f>
        <v>2018</v>
      </c>
      <c r="F884" t="str">
        <f>"Wypych"</f>
        <v>Wypych</v>
      </c>
      <c r="G884" t="str">
        <f>"dehkadehketab"</f>
        <v>dehkadehketab</v>
      </c>
    </row>
    <row r="885" spans="1:7" x14ac:dyDescent="0.25">
      <c r="A885" t="str">
        <f>"Handbook of Metalloproteins,V 4 &amp; 5 Set"</f>
        <v>Handbook of Metalloproteins,V 4 &amp; 5 Set</v>
      </c>
      <c r="B885" t="str">
        <f>"9780470711996"</f>
        <v>9780470711996</v>
      </c>
      <c r="C885">
        <v>230</v>
      </c>
      <c r="D885" t="str">
        <f t="shared" si="62"/>
        <v>USD</v>
      </c>
      <c r="E885" t="str">
        <f>"2011"</f>
        <v>2011</v>
      </c>
      <c r="F885" t="str">
        <f>"Messerschmidt"</f>
        <v>Messerschmidt</v>
      </c>
      <c r="G885" t="str">
        <f t="shared" ref="G885:G890" si="63">"avanddanesh"</f>
        <v>avanddanesh</v>
      </c>
    </row>
    <row r="886" spans="1:7" x14ac:dyDescent="0.25">
      <c r="A886" t="str">
        <f>"Handbook of Metathesis, 3V Set,2e"</f>
        <v>Handbook of Metathesis, 3V Set,2e</v>
      </c>
      <c r="B886" t="str">
        <f>"9783527334247"</f>
        <v>9783527334247</v>
      </c>
      <c r="C886">
        <v>484</v>
      </c>
      <c r="D886" t="str">
        <f t="shared" si="62"/>
        <v>USD</v>
      </c>
      <c r="E886" t="str">
        <f>"2015"</f>
        <v>2015</v>
      </c>
      <c r="F886" t="str">
        <f>"Grubbs"</f>
        <v>Grubbs</v>
      </c>
      <c r="G886" t="str">
        <f t="shared" si="63"/>
        <v>avanddanesh</v>
      </c>
    </row>
    <row r="887" spans="1:7" x14ac:dyDescent="0.25">
      <c r="A887" t="str">
        <f>"Handbook of Metathesis: Applications in Organic Synthesis, V2,2e"</f>
        <v>Handbook of Metathesis: Applications in Organic Synthesis, V2,2e</v>
      </c>
      <c r="B887" t="str">
        <f>"9783527339495"</f>
        <v>9783527339495</v>
      </c>
      <c r="C887">
        <v>223.2</v>
      </c>
      <c r="D887" t="str">
        <f t="shared" si="62"/>
        <v>USD</v>
      </c>
      <c r="E887" t="str">
        <f>"2015"</f>
        <v>2015</v>
      </c>
      <c r="F887" t="str">
        <f>"Grubbs"</f>
        <v>Grubbs</v>
      </c>
      <c r="G887" t="str">
        <f t="shared" si="63"/>
        <v>avanddanesh</v>
      </c>
    </row>
    <row r="888" spans="1:7" x14ac:dyDescent="0.25">
      <c r="A888" t="str">
        <f>"Handbook of Metathesis: Catalyst Development and Mechanism, V1,2e"</f>
        <v>Handbook of Metathesis: Catalyst Development and Mechanism, V1,2e</v>
      </c>
      <c r="B888" t="str">
        <f>"9783527339488"</f>
        <v>9783527339488</v>
      </c>
      <c r="C888">
        <v>189.6</v>
      </c>
      <c r="D888" t="str">
        <f t="shared" si="62"/>
        <v>USD</v>
      </c>
      <c r="E888" t="str">
        <f>"2015"</f>
        <v>2015</v>
      </c>
      <c r="F888" t="str">
        <f>"Grubbs"</f>
        <v>Grubbs</v>
      </c>
      <c r="G888" t="str">
        <f t="shared" si="63"/>
        <v>avanddanesh</v>
      </c>
    </row>
    <row r="889" spans="1:7" x14ac:dyDescent="0.25">
      <c r="A889" t="str">
        <f>"Handbook of Metathesis: Polymer Synthesis, V3,2e"</f>
        <v>Handbook of Metathesis: Polymer Synthesis, V3,2e</v>
      </c>
      <c r="B889" t="str">
        <f>"9783527339501"</f>
        <v>9783527339501</v>
      </c>
      <c r="C889">
        <v>184</v>
      </c>
      <c r="D889" t="str">
        <f t="shared" si="62"/>
        <v>USD</v>
      </c>
      <c r="E889" t="str">
        <f>"2015"</f>
        <v>2015</v>
      </c>
      <c r="F889" t="str">
        <f>"Grubbs"</f>
        <v>Grubbs</v>
      </c>
      <c r="G889" t="str">
        <f t="shared" si="63"/>
        <v>avanddanesh</v>
      </c>
    </row>
    <row r="890" spans="1:7" x14ac:dyDescent="0.25">
      <c r="A890" t="str">
        <f>"Handbook of Nanocellulose and Cellulose Nanocomposites, 2V Set"</f>
        <v>Handbook of Nanocellulose and Cellulose Nanocomposites, 2V Set</v>
      </c>
      <c r="B890" t="str">
        <f>"9783527338665"</f>
        <v>9783527338665</v>
      </c>
      <c r="C890">
        <v>364.5</v>
      </c>
      <c r="D890" t="str">
        <f t="shared" si="62"/>
        <v>USD</v>
      </c>
      <c r="E890" t="str">
        <f>"2017"</f>
        <v>2017</v>
      </c>
      <c r="F890" t="str">
        <f>"Kargarzadeh"</f>
        <v>Kargarzadeh</v>
      </c>
      <c r="G890" t="str">
        <f t="shared" si="63"/>
        <v>avanddanesh</v>
      </c>
    </row>
    <row r="891" spans="1:7" x14ac:dyDescent="0.25">
      <c r="A891" t="str">
        <f>"Handbook of Natural Colorants"</f>
        <v>Handbook of Natural Colorants</v>
      </c>
      <c r="B891" t="str">
        <f>"9780470511992"</f>
        <v>9780470511992</v>
      </c>
      <c r="C891">
        <v>126</v>
      </c>
      <c r="D891" t="str">
        <f t="shared" si="62"/>
        <v>USD</v>
      </c>
      <c r="E891" t="str">
        <f>"2009"</f>
        <v>2009</v>
      </c>
      <c r="F891" t="str">
        <f>"Bechtold"</f>
        <v>Bechtold</v>
      </c>
      <c r="G891" t="str">
        <f>"safirketab"</f>
        <v>safirketab</v>
      </c>
    </row>
    <row r="892" spans="1:7" x14ac:dyDescent="0.25">
      <c r="A892" t="str">
        <f>"Handbook of Odors in Plastic Materials, 2nd Edition"</f>
        <v>Handbook of Odors in Plastic Materials, 2nd Edition</v>
      </c>
      <c r="B892" t="str">
        <f>"9781892836281"</f>
        <v>9781892836281</v>
      </c>
      <c r="C892">
        <v>265.5</v>
      </c>
      <c r="D892" t="str">
        <f t="shared" si="62"/>
        <v>USD</v>
      </c>
      <c r="E892" t="str">
        <f>"2017"</f>
        <v>2017</v>
      </c>
      <c r="F892" t="str">
        <f>"Wypych"</f>
        <v>Wypych</v>
      </c>
      <c r="G892" t="str">
        <f>"dehkadehketab"</f>
        <v>dehkadehketab</v>
      </c>
    </row>
    <row r="893" spans="1:7" x14ac:dyDescent="0.25">
      <c r="A893" t="str">
        <f>"Handbook of Plasticizers, 3rd Edition"</f>
        <v>Handbook of Plasticizers, 3rd Edition</v>
      </c>
      <c r="B893" t="str">
        <f>"9781895198973"</f>
        <v>9781895198973</v>
      </c>
      <c r="C893">
        <v>315</v>
      </c>
      <c r="D893" t="str">
        <f t="shared" si="62"/>
        <v>USD</v>
      </c>
      <c r="E893" t="str">
        <f>"2017"</f>
        <v>2017</v>
      </c>
      <c r="F893" t="str">
        <f>"Wypych"</f>
        <v>Wypych</v>
      </c>
      <c r="G893" t="str">
        <f>"dehkadehketab"</f>
        <v>dehkadehketab</v>
      </c>
    </row>
    <row r="894" spans="1:7" x14ac:dyDescent="0.25">
      <c r="A894" t="str">
        <f>"Handbook of Rare Earth ElementsAnalytics"</f>
        <v>Handbook of Rare Earth ElementsAnalytics</v>
      </c>
      <c r="B894" t="str">
        <f>"9783110365238"</f>
        <v>9783110365238</v>
      </c>
      <c r="C894">
        <v>179.95</v>
      </c>
      <c r="D894" t="str">
        <f>"EUR"</f>
        <v>EUR</v>
      </c>
      <c r="E894" t="str">
        <f>"2017"</f>
        <v>2017</v>
      </c>
      <c r="F894" t="str">
        <f>"Alfred Golloch(Edit"</f>
        <v>Alfred Golloch(Edit</v>
      </c>
      <c r="G894" t="str">
        <f>"AsarBartar"</f>
        <v>AsarBartar</v>
      </c>
    </row>
    <row r="895" spans="1:7" x14ac:dyDescent="0.25">
      <c r="A895" t="str">
        <f>"Handbook of Reagents for Organic Synthesis: Catalytic Oxidation Reagents"</f>
        <v>Handbook of Reagents for Organic Synthesis: Catalytic Oxidation Reagents</v>
      </c>
      <c r="B895" t="str">
        <f>"9781119953272"</f>
        <v>9781119953272</v>
      </c>
      <c r="C895">
        <v>110.5</v>
      </c>
      <c r="D895" t="str">
        <f t="shared" ref="D895:D900" si="64">"USD"</f>
        <v>USD</v>
      </c>
      <c r="E895" t="str">
        <f>"2013"</f>
        <v>2013</v>
      </c>
      <c r="F895" t="str">
        <f>"Fuchs"</f>
        <v>Fuchs</v>
      </c>
      <c r="G895" t="str">
        <f>"avanddanesh"</f>
        <v>avanddanesh</v>
      </c>
    </row>
    <row r="896" spans="1:7" x14ac:dyDescent="0.25">
      <c r="A896" t="str">
        <f>"Handbook of Reagents for Organic Synthesis: Reagents for Heteroarene Functionalization"</f>
        <v>Handbook of Reagents for Organic Synthesis: Reagents for Heteroarene Functionalization</v>
      </c>
      <c r="B896" t="str">
        <f>"9781118726594"</f>
        <v>9781118726594</v>
      </c>
      <c r="C896">
        <v>152</v>
      </c>
      <c r="D896" t="str">
        <f t="shared" si="64"/>
        <v>USD</v>
      </c>
      <c r="E896" t="str">
        <f>"2015"</f>
        <v>2015</v>
      </c>
      <c r="F896" t="str">
        <f>"Charette"</f>
        <v>Charette</v>
      </c>
      <c r="G896" t="str">
        <f>"avanddanesh"</f>
        <v>avanddanesh</v>
      </c>
    </row>
    <row r="897" spans="1:7" x14ac:dyDescent="0.25">
      <c r="A897" t="str">
        <f>"Handbook of Reagents for Organic Synthesis: Reagents for Heteroarene Synthesis"</f>
        <v>Handbook of Reagents for Organic Synthesis: Reagents for Heteroarene Synthesis</v>
      </c>
      <c r="B897" t="str">
        <f>"9781119952299"</f>
        <v>9781119952299</v>
      </c>
      <c r="C897">
        <v>175.5</v>
      </c>
      <c r="D897" t="str">
        <f t="shared" si="64"/>
        <v>USD</v>
      </c>
      <c r="E897" t="str">
        <f>"2017"</f>
        <v>2017</v>
      </c>
      <c r="F897" t="str">
        <f>"Charette"</f>
        <v>Charette</v>
      </c>
      <c r="G897" t="str">
        <f>"avanddanesh"</f>
        <v>avanddanesh</v>
      </c>
    </row>
    <row r="898" spans="1:7" x14ac:dyDescent="0.25">
      <c r="A898" t="str">
        <f>"Handbook of Reagents for Organic Synthesis: Reagents for Organocatalysis"</f>
        <v>Handbook of Reagents for Organic Synthesis: Reagents for Organocatalysis</v>
      </c>
      <c r="B898" t="str">
        <f>"9781119061007"</f>
        <v>9781119061007</v>
      </c>
      <c r="C898">
        <v>161.5</v>
      </c>
      <c r="D898" t="str">
        <f t="shared" si="64"/>
        <v>USD</v>
      </c>
      <c r="E898" t="str">
        <f>"2016"</f>
        <v>2016</v>
      </c>
      <c r="F898" t="str">
        <f>"Rovis"</f>
        <v>Rovis</v>
      </c>
      <c r="G898" t="str">
        <f>"avanddanesh"</f>
        <v>avanddanesh</v>
      </c>
    </row>
    <row r="899" spans="1:7" x14ac:dyDescent="0.25">
      <c r="A899" t="str">
        <f>"Handbook of Reagents, 4V Set"</f>
        <v>Handbook of Reagents, 4V Set</v>
      </c>
      <c r="B899" t="str">
        <f>"9780470666494"</f>
        <v>9780470666494</v>
      </c>
      <c r="C899">
        <v>176</v>
      </c>
      <c r="D899" t="str">
        <f t="shared" si="64"/>
        <v>USD</v>
      </c>
      <c r="E899" t="str">
        <f>"2010"</f>
        <v>2010</v>
      </c>
      <c r="F899" t="str">
        <f>"Molander"</f>
        <v>Molander</v>
      </c>
      <c r="G899" t="str">
        <f>"avanddanesh"</f>
        <v>avanddanesh</v>
      </c>
    </row>
    <row r="900" spans="1:7" x14ac:dyDescent="0.25">
      <c r="A900" t="str">
        <f>"Handbook of Recycled Concrete and Demolition Waste"</f>
        <v>Handbook of Recycled Concrete and Demolition Waste</v>
      </c>
      <c r="B900" t="str">
        <f>"9780081014004"</f>
        <v>9780081014004</v>
      </c>
      <c r="C900">
        <v>261</v>
      </c>
      <c r="D900" t="str">
        <f t="shared" si="64"/>
        <v>USD</v>
      </c>
      <c r="E900" t="str">
        <f>"2017"</f>
        <v>2017</v>
      </c>
      <c r="F900" t="str">
        <f>"Pacheco-Torgal et al"</f>
        <v>Pacheco-Torgal et al</v>
      </c>
      <c r="G900" t="str">
        <f>"dehkadehketab"</f>
        <v>dehkadehketab</v>
      </c>
    </row>
    <row r="901" spans="1:7" x14ac:dyDescent="0.25">
      <c r="A901" t="str">
        <f>"Handbook of Relativistic Quantum Chemistry"</f>
        <v>Handbook of Relativistic Quantum Chemistry</v>
      </c>
      <c r="B901" t="str">
        <f>"9783642407659"</f>
        <v>9783642407659</v>
      </c>
      <c r="C901">
        <v>449.99</v>
      </c>
      <c r="D901" t="str">
        <f>"EUR"</f>
        <v>EUR</v>
      </c>
      <c r="E901" t="str">
        <f>"2017"</f>
        <v>2017</v>
      </c>
      <c r="F901" t="str">
        <f>"Liu"</f>
        <v>Liu</v>
      </c>
      <c r="G901" t="str">
        <f>"negarestanabi"</f>
        <v>negarestanabi</v>
      </c>
    </row>
    <row r="902" spans="1:7" x14ac:dyDescent="0.25">
      <c r="A902" t="str">
        <f>"Handbook of Research on Diverse Applications of Nanotechnology in Biomedicine, Chemistry, and Engineering"</f>
        <v>Handbook of Research on Diverse Applications of Nanotechnology in Biomedicine, Chemistry, and Engineering</v>
      </c>
      <c r="B902" t="str">
        <f>"9781466663633"</f>
        <v>9781466663633</v>
      </c>
      <c r="C902">
        <v>256.8</v>
      </c>
      <c r="D902" t="str">
        <f t="shared" ref="D902:D922" si="65">"USD"</f>
        <v>USD</v>
      </c>
      <c r="E902" t="str">
        <f>"2015"</f>
        <v>2015</v>
      </c>
      <c r="F902" t="str">
        <f>"Shivani Soni , Amand"</f>
        <v>Shivani Soni , Amand</v>
      </c>
      <c r="G902" t="str">
        <f>"arzinbooks"</f>
        <v>arzinbooks</v>
      </c>
    </row>
    <row r="903" spans="1:7" x14ac:dyDescent="0.25">
      <c r="A903" t="str">
        <f>"Handbook of RNA Biochemistry, 2V Set,2e"</f>
        <v>Handbook of RNA Biochemistry, 2V Set,2e</v>
      </c>
      <c r="B903" t="str">
        <f>"9783527327645"</f>
        <v>9783527327645</v>
      </c>
      <c r="C903">
        <v>352.5</v>
      </c>
      <c r="D903" t="str">
        <f t="shared" si="65"/>
        <v>USD</v>
      </c>
      <c r="E903" t="str">
        <f>"2014"</f>
        <v>2014</v>
      </c>
      <c r="F903" t="str">
        <f>"Hartmann"</f>
        <v>Hartmann</v>
      </c>
      <c r="G903" t="str">
        <f>"avanddanesh"</f>
        <v>avanddanesh</v>
      </c>
    </row>
    <row r="904" spans="1:7" x14ac:dyDescent="0.25">
      <c r="A904" t="str">
        <f>"Handbook of Solid State Chemistry, 6V Set"</f>
        <v>Handbook of Solid State Chemistry, 6V Set</v>
      </c>
      <c r="B904" t="str">
        <f>"9783527325870"</f>
        <v>9783527325870</v>
      </c>
      <c r="C904">
        <v>1516.5</v>
      </c>
      <c r="D904" t="str">
        <f t="shared" si="65"/>
        <v>USD</v>
      </c>
      <c r="E904" t="str">
        <f>"2017"</f>
        <v>2017</v>
      </c>
      <c r="F904" t="str">
        <f>"Dronskowski"</f>
        <v>Dronskowski</v>
      </c>
      <c r="G904" t="str">
        <f>"avanddanesh"</f>
        <v>avanddanesh</v>
      </c>
    </row>
    <row r="905" spans="1:7" x14ac:dyDescent="0.25">
      <c r="A905" t="str">
        <f>"Handbook of Spectroscopy, 4V Set,2e"</f>
        <v>Handbook of Spectroscopy, 4V Set,2e</v>
      </c>
      <c r="B905" t="str">
        <f>"9783527321506"</f>
        <v>9783527321506</v>
      </c>
      <c r="C905">
        <v>570</v>
      </c>
      <c r="D905" t="str">
        <f t="shared" si="65"/>
        <v>USD</v>
      </c>
      <c r="E905" t="str">
        <f>"2014"</f>
        <v>2014</v>
      </c>
      <c r="F905" t="str">
        <f>"Gauglitz"</f>
        <v>Gauglitz</v>
      </c>
      <c r="G905" t="str">
        <f>"avanddanesh"</f>
        <v>avanddanesh</v>
      </c>
    </row>
    <row r="906" spans="1:7" x14ac:dyDescent="0.25">
      <c r="A906" t="str">
        <f>"Handbook of Spent Hydroprocessing Catalysts"</f>
        <v>Handbook of Spent Hydroprocessing Catalysts</v>
      </c>
      <c r="B906" t="str">
        <f>"9780444638663"</f>
        <v>9780444638663</v>
      </c>
      <c r="C906">
        <v>207</v>
      </c>
      <c r="D906" t="str">
        <f t="shared" si="65"/>
        <v>USD</v>
      </c>
      <c r="E906" t="str">
        <f>"2017"</f>
        <v>2017</v>
      </c>
      <c r="F906" t="str">
        <f>"Marafi, Meena"</f>
        <v>Marafi, Meena</v>
      </c>
      <c r="G906" t="str">
        <f>"dehkadehketab"</f>
        <v>dehkadehketab</v>
      </c>
    </row>
    <row r="907" spans="1:7" x14ac:dyDescent="0.25">
      <c r="A907" t="str">
        <f>"Handbook of Surface Improvement and Modification"</f>
        <v>Handbook of Surface Improvement and Modification</v>
      </c>
      <c r="B907" t="str">
        <f>"9781927885314"</f>
        <v>9781927885314</v>
      </c>
      <c r="C907">
        <v>256.5</v>
      </c>
      <c r="D907" t="str">
        <f t="shared" si="65"/>
        <v>USD</v>
      </c>
      <c r="E907" t="str">
        <f>"2018"</f>
        <v>2018</v>
      </c>
      <c r="F907" t="str">
        <f>"Wypych"</f>
        <v>Wypych</v>
      </c>
      <c r="G907" t="str">
        <f>"dehkadehketab"</f>
        <v>dehkadehketab</v>
      </c>
    </row>
    <row r="908" spans="1:7" x14ac:dyDescent="0.25">
      <c r="A908" t="str">
        <f>"Handbook of Thermal Analysis and Calorimetry, Recent Advances, Techniques and Applications, 2nd Edition, Volume6"</f>
        <v>Handbook of Thermal Analysis and Calorimetry, Recent Advances, Techniques and Applications, 2nd Edition, Volume6</v>
      </c>
      <c r="B908" t="str">
        <f>"9780444640581"</f>
        <v>9780444640581</v>
      </c>
      <c r="C908">
        <v>324</v>
      </c>
      <c r="D908" t="str">
        <f t="shared" si="65"/>
        <v>USD</v>
      </c>
      <c r="E908" t="str">
        <f>"2018"</f>
        <v>2018</v>
      </c>
      <c r="F908" t="str">
        <f>"Vyazovkin et al"</f>
        <v>Vyazovkin et al</v>
      </c>
      <c r="G908" t="str">
        <f>"dehkadehketab"</f>
        <v>dehkadehketab</v>
      </c>
    </row>
    <row r="909" spans="1:7" x14ac:dyDescent="0.25">
      <c r="A909" t="str">
        <f>"Harpers Illustrated Biochemistry"</f>
        <v>Harpers Illustrated Biochemistry</v>
      </c>
      <c r="B909" t="str">
        <f>"9781259252860"</f>
        <v>9781259252860</v>
      </c>
      <c r="C909">
        <v>39.72</v>
      </c>
      <c r="D909" t="str">
        <f t="shared" si="65"/>
        <v>USD</v>
      </c>
      <c r="E909" t="str">
        <f>"2015"</f>
        <v>2015</v>
      </c>
      <c r="F909" t="str">
        <f>"Rodwell"</f>
        <v>Rodwell</v>
      </c>
      <c r="G909" t="str">
        <f>"safirketab"</f>
        <v>safirketab</v>
      </c>
    </row>
    <row r="910" spans="1:7" x14ac:dyDescent="0.25">
      <c r="A910" t="str">
        <f>"HARPER'S ILLUSTRATED BIOCHEMISTRY, PB"</f>
        <v>HARPER'S ILLUSTRATED BIOCHEMISTRY, PB</v>
      </c>
      <c r="B910" t="str">
        <f>"9780071461979"</f>
        <v>9780071461979</v>
      </c>
      <c r="C910">
        <v>35</v>
      </c>
      <c r="D910" t="str">
        <f t="shared" si="65"/>
        <v>USD</v>
      </c>
      <c r="E910" t="str">
        <f>"2008"</f>
        <v>2008</v>
      </c>
      <c r="F910" t="str">
        <f>"Murray"</f>
        <v>Murray</v>
      </c>
      <c r="G910" t="str">
        <f>"supply"</f>
        <v>supply</v>
      </c>
    </row>
    <row r="911" spans="1:7" x14ac:dyDescent="0.25">
      <c r="A911" t="str">
        <f>"Hawk's Physiological Chemistry"</f>
        <v>Hawk's Physiological Chemistry</v>
      </c>
      <c r="B911" t="str">
        <f>"9789384007362"</f>
        <v>9789384007362</v>
      </c>
      <c r="C911">
        <v>29.75</v>
      </c>
      <c r="D911" t="str">
        <f t="shared" si="65"/>
        <v>USD</v>
      </c>
      <c r="E911" t="str">
        <f>"2015"</f>
        <v>2015</v>
      </c>
      <c r="F911" t="str">
        <f>"Kalsi"</f>
        <v>Kalsi</v>
      </c>
      <c r="G911" t="str">
        <f>"jahanadib"</f>
        <v>jahanadib</v>
      </c>
    </row>
    <row r="912" spans="1:7" x14ac:dyDescent="0.25">
      <c r="A912" t="str">
        <f>"Hazardous Chemicals: Control and Regulation in the European Market"</f>
        <v>Hazardous Chemicals: Control and Regulation in the European Market</v>
      </c>
      <c r="B912" t="str">
        <f>"9783527315413"</f>
        <v>9783527315413</v>
      </c>
      <c r="C912">
        <v>90</v>
      </c>
      <c r="D912" t="str">
        <f t="shared" si="65"/>
        <v>USD</v>
      </c>
      <c r="E912" t="str">
        <f>"2007"</f>
        <v>2007</v>
      </c>
      <c r="F912" t="str">
        <f>"Bender-Chemistry"</f>
        <v>Bender-Chemistry</v>
      </c>
      <c r="G912" t="str">
        <f t="shared" ref="G912:G921" si="66">"safirketab"</f>
        <v>safirketab</v>
      </c>
    </row>
    <row r="913" spans="1:7" x14ac:dyDescent="0.25">
      <c r="A913" t="str">
        <f>"HDBK of Biological Dyes and Stains:Synthesis and Industrial Applications"</f>
        <v>HDBK of Biological Dyes and Stains:Synthesis and Industrial Applications</v>
      </c>
      <c r="B913" t="str">
        <f>"9780470407530"</f>
        <v>9780470407530</v>
      </c>
      <c r="C913">
        <v>132</v>
      </c>
      <c r="D913" t="str">
        <f t="shared" si="65"/>
        <v>USD</v>
      </c>
      <c r="E913" t="str">
        <f>"2010"</f>
        <v>2010</v>
      </c>
      <c r="F913" t="str">
        <f>"Sabnis"</f>
        <v>Sabnis</v>
      </c>
      <c r="G913" t="str">
        <f t="shared" si="66"/>
        <v>safirketab</v>
      </c>
    </row>
    <row r="914" spans="1:7" x14ac:dyDescent="0.25">
      <c r="A914" t="str">
        <f>"HDBK of Chemical Glycosylation: Advances in Stereoselectivity and Therapeutic Relevance"</f>
        <v>HDBK of Chemical Glycosylation: Advances in Stereoselectivity and Therapeutic Relevance</v>
      </c>
      <c r="B914" t="str">
        <f>"9783527317806"</f>
        <v>9783527317806</v>
      </c>
      <c r="C914">
        <v>119.2</v>
      </c>
      <c r="D914" t="str">
        <f t="shared" si="65"/>
        <v>USD</v>
      </c>
      <c r="E914" t="str">
        <f>"2008"</f>
        <v>2008</v>
      </c>
      <c r="F914" t="str">
        <f>"Demchenko"</f>
        <v>Demchenko</v>
      </c>
      <c r="G914" t="str">
        <f t="shared" si="66"/>
        <v>safirketab</v>
      </c>
    </row>
    <row r="915" spans="1:7" x14ac:dyDescent="0.25">
      <c r="A915" t="str">
        <f>"HDBK of Cyclization Reactions"</f>
        <v>HDBK of Cyclization Reactions</v>
      </c>
      <c r="B915" t="str">
        <f>"9783527320882"</f>
        <v>9783527320882</v>
      </c>
      <c r="C915">
        <v>378</v>
      </c>
      <c r="D915" t="str">
        <f t="shared" si="65"/>
        <v>USD</v>
      </c>
      <c r="E915" t="str">
        <f>"2009"</f>
        <v>2009</v>
      </c>
      <c r="F915" t="str">
        <f>"Ma"</f>
        <v>Ma</v>
      </c>
      <c r="G915" t="str">
        <f t="shared" si="66"/>
        <v>safirketab</v>
      </c>
    </row>
    <row r="916" spans="1:7" x14ac:dyDescent="0.25">
      <c r="A916" t="str">
        <f>"HDBK of Fluorescence Spectroscopy and Imaging: From Ensemble to Single Molecules"</f>
        <v>HDBK of Fluorescence Spectroscopy and Imaging: From Ensemble to Single Molecules</v>
      </c>
      <c r="B916" t="str">
        <f>"9783527316694"</f>
        <v>9783527316694</v>
      </c>
      <c r="C916">
        <v>113.4</v>
      </c>
      <c r="D916" t="str">
        <f t="shared" si="65"/>
        <v>USD</v>
      </c>
      <c r="E916" t="str">
        <f>"2011"</f>
        <v>2011</v>
      </c>
      <c r="F916" t="str">
        <f>"Sauer"</f>
        <v>Sauer</v>
      </c>
      <c r="G916" t="str">
        <f t="shared" si="66"/>
        <v>safirketab</v>
      </c>
    </row>
    <row r="917" spans="1:7" x14ac:dyDescent="0.25">
      <c r="A917" t="str">
        <f>"HDBK of Metalloproteins,V 4 &amp; 5 Set"</f>
        <v>HDBK of Metalloproteins,V 4 &amp; 5 Set</v>
      </c>
      <c r="B917" t="str">
        <f>"9780470711996"</f>
        <v>9780470711996</v>
      </c>
      <c r="C917">
        <v>230</v>
      </c>
      <c r="D917" t="str">
        <f t="shared" si="65"/>
        <v>USD</v>
      </c>
      <c r="E917" t="str">
        <f>"2011"</f>
        <v>2011</v>
      </c>
      <c r="F917" t="str">
        <f>"Messerschmidt"</f>
        <v>Messerschmidt</v>
      </c>
      <c r="G917" t="str">
        <f t="shared" si="66"/>
        <v>safirketab</v>
      </c>
    </row>
    <row r="918" spans="1:7" x14ac:dyDescent="0.25">
      <c r="A918" t="str">
        <f>"HDBK of Paper and Board"</f>
        <v>HDBK of Paper and Board</v>
      </c>
      <c r="B918" t="str">
        <f>"9783527309979"</f>
        <v>9783527309979</v>
      </c>
      <c r="C918">
        <v>144</v>
      </c>
      <c r="D918" t="str">
        <f t="shared" si="65"/>
        <v>USD</v>
      </c>
      <c r="E918" t="str">
        <f>"2006"</f>
        <v>2006</v>
      </c>
      <c r="F918" t="str">
        <f>"Industrial Chemistry"</f>
        <v>Industrial Chemistry</v>
      </c>
      <c r="G918" t="str">
        <f t="shared" si="66"/>
        <v>safirketab</v>
      </c>
    </row>
    <row r="919" spans="1:7" x14ac:dyDescent="0.25">
      <c r="A919" t="str">
        <f>"HDBK of Pulp "</f>
        <v xml:space="preserve">HDBK of Pulp </v>
      </c>
      <c r="B919" t="str">
        <f>"9783527309993"</f>
        <v>9783527309993</v>
      </c>
      <c r="C919">
        <v>420</v>
      </c>
      <c r="D919" t="str">
        <f t="shared" si="65"/>
        <v>USD</v>
      </c>
      <c r="E919" t="str">
        <f>"2006"</f>
        <v>2006</v>
      </c>
      <c r="F919" t="str">
        <f>"Industrial Chemistry"</f>
        <v>Industrial Chemistry</v>
      </c>
      <c r="G919" t="str">
        <f t="shared" si="66"/>
        <v>safirketab</v>
      </c>
    </row>
    <row r="920" spans="1:7" x14ac:dyDescent="0.25">
      <c r="A920" t="str">
        <f>"HDBK of RNA Biochemistry: Student Edition"</f>
        <v>HDBK of RNA Biochemistry: Student Edition</v>
      </c>
      <c r="B920" t="str">
        <f>"9783527325344"</f>
        <v>9783527325344</v>
      </c>
      <c r="C920">
        <v>105</v>
      </c>
      <c r="D920" t="str">
        <f t="shared" si="65"/>
        <v>USD</v>
      </c>
      <c r="E920" t="str">
        <f>"2009"</f>
        <v>2009</v>
      </c>
      <c r="F920" t="str">
        <f>"Hartmann"</f>
        <v>Hartmann</v>
      </c>
      <c r="G920" t="str">
        <f t="shared" si="66"/>
        <v>safirketab</v>
      </c>
    </row>
    <row r="921" spans="1:7" x14ac:dyDescent="0.25">
      <c r="A921" t="str">
        <f>"HDBK of Synthetic Photochemistry"</f>
        <v>HDBK of Synthetic Photochemistry</v>
      </c>
      <c r="B921" t="str">
        <f>"9783527323913"</f>
        <v>9783527323913</v>
      </c>
      <c r="C921">
        <v>138.75</v>
      </c>
      <c r="D921" t="str">
        <f t="shared" si="65"/>
        <v>USD</v>
      </c>
      <c r="E921" t="str">
        <f>"2010"</f>
        <v>2010</v>
      </c>
      <c r="F921" t="str">
        <f>"Albini"</f>
        <v>Albini</v>
      </c>
      <c r="G921" t="str">
        <f t="shared" si="66"/>
        <v>safirketab</v>
      </c>
    </row>
    <row r="922" spans="1:7" x14ac:dyDescent="0.25">
      <c r="A922" t="str">
        <f>"Health, Safety, and Environmental Management in Offshore and Petroleum Engineering"</f>
        <v>Health, Safety, and Environmental Management in Offshore and Petroleum Engineering</v>
      </c>
      <c r="B922" t="str">
        <f>"9781119221845"</f>
        <v>9781119221845</v>
      </c>
      <c r="C922">
        <v>80.8</v>
      </c>
      <c r="D922" t="str">
        <f t="shared" si="65"/>
        <v>USD</v>
      </c>
      <c r="E922" t="str">
        <f>"2016"</f>
        <v>2016</v>
      </c>
      <c r="F922" t="str">
        <f>"Chandrasekaran"</f>
        <v>Chandrasekaran</v>
      </c>
      <c r="G922" t="str">
        <f>"avanddanesh"</f>
        <v>avanddanesh</v>
      </c>
    </row>
    <row r="923" spans="1:7" x14ac:dyDescent="0.25">
      <c r="A923" t="str">
        <f>"Helicene Chemistry: From Synthesis to Applications"</f>
        <v>Helicene Chemistry: From Synthesis to Applications</v>
      </c>
      <c r="B923" t="str">
        <f>"9783662531662"</f>
        <v>9783662531662</v>
      </c>
      <c r="C923">
        <v>107.99</v>
      </c>
      <c r="D923" t="str">
        <f>"EUR"</f>
        <v>EUR</v>
      </c>
      <c r="E923" t="str">
        <f>"2017"</f>
        <v>2017</v>
      </c>
      <c r="F923" t="str">
        <f>"Chen"</f>
        <v>Chen</v>
      </c>
      <c r="G923" t="str">
        <f>"negarestanabi"</f>
        <v>negarestanabi</v>
      </c>
    </row>
    <row r="924" spans="1:7" x14ac:dyDescent="0.25">
      <c r="A924" t="str">
        <f>"Hetercyclic Compounds V17"</f>
        <v>Hetercyclic Compounds V17</v>
      </c>
      <c r="B924" t="str">
        <f>"9780470381489"</f>
        <v>9780470381489</v>
      </c>
      <c r="C924">
        <v>236</v>
      </c>
      <c r="D924" t="str">
        <f t="shared" ref="D924:D930" si="67">"USD"</f>
        <v>USD</v>
      </c>
      <c r="E924" t="str">
        <f>"2007"</f>
        <v>2007</v>
      </c>
      <c r="F924" t="str">
        <f>"Wiley"</f>
        <v>Wiley</v>
      </c>
      <c r="G924" t="str">
        <f>"safirketab"</f>
        <v>safirketab</v>
      </c>
    </row>
    <row r="925" spans="1:7" x14ac:dyDescent="0.25">
      <c r="A925" t="str">
        <f>"Heterocyclic Chemistry in the 21st Century: A Tribute to Alan Katritzky, Volume121"</f>
        <v>Heterocyclic Chemistry in the 21st Century: A Tribute to Alan Katritzky, Volume121</v>
      </c>
      <c r="B925" t="str">
        <f>"9780128111611"</f>
        <v>9780128111611</v>
      </c>
      <c r="C925">
        <v>220.5</v>
      </c>
      <c r="D925" t="str">
        <f t="shared" si="67"/>
        <v>USD</v>
      </c>
      <c r="E925" t="str">
        <f>"2017"</f>
        <v>2017</v>
      </c>
      <c r="F925" t="str">
        <f>"Scriven and Ramsden"</f>
        <v>Scriven and Ramsden</v>
      </c>
      <c r="G925" t="str">
        <f>"dehkadehketab"</f>
        <v>dehkadehketab</v>
      </c>
    </row>
    <row r="926" spans="1:7" x14ac:dyDescent="0.25">
      <c r="A926" t="str">
        <f>"Heterogeneous Catalysis at Nanoscale for Energy Applications"</f>
        <v>Heterogeneous Catalysis at Nanoscale for Energy Applications</v>
      </c>
      <c r="B926" t="str">
        <f>"9780470952603"</f>
        <v>9780470952603</v>
      </c>
      <c r="C926">
        <v>116.2</v>
      </c>
      <c r="D926" t="str">
        <f t="shared" si="67"/>
        <v>USD</v>
      </c>
      <c r="E926" t="str">
        <f>"2014"</f>
        <v>2014</v>
      </c>
      <c r="F926" t="str">
        <f>"Tao"</f>
        <v>Tao</v>
      </c>
      <c r="G926" t="str">
        <f>"avanddanesh"</f>
        <v>avanddanesh</v>
      </c>
    </row>
    <row r="927" spans="1:7" x14ac:dyDescent="0.25">
      <c r="A927" t="str">
        <f>"Heterogeneous Catalysts for Clean Technology: Spectroscopy, Design, and Monitoring"</f>
        <v>Heterogeneous Catalysts for Clean Technology: Spectroscopy, Design, and Monitoring</v>
      </c>
      <c r="B927" t="str">
        <f>"9783527332137"</f>
        <v>9783527332137</v>
      </c>
      <c r="C927">
        <v>131.30000000000001</v>
      </c>
      <c r="D927" t="str">
        <f t="shared" si="67"/>
        <v>USD</v>
      </c>
      <c r="E927" t="str">
        <f>"2013"</f>
        <v>2013</v>
      </c>
      <c r="F927" t="str">
        <f>"Wilson"</f>
        <v>Wilson</v>
      </c>
      <c r="G927" t="str">
        <f>"avanddanesh"</f>
        <v>avanddanesh</v>
      </c>
    </row>
    <row r="928" spans="1:7" x14ac:dyDescent="0.25">
      <c r="A928" t="str">
        <f>"Heterogeneous Electrode Processes and Localized Corrosion"</f>
        <v>Heterogeneous Electrode Processes and Localized Corrosion</v>
      </c>
      <c r="B928" t="str">
        <f>"9780470647950"</f>
        <v>9780470647950</v>
      </c>
      <c r="C928">
        <v>89</v>
      </c>
      <c r="D928" t="str">
        <f t="shared" si="67"/>
        <v>USD</v>
      </c>
      <c r="E928" t="str">
        <f>"2013"</f>
        <v>2013</v>
      </c>
      <c r="F928" t="str">
        <f>"Tan"</f>
        <v>Tan</v>
      </c>
      <c r="G928" t="str">
        <f>"avanddanesh"</f>
        <v>avanddanesh</v>
      </c>
    </row>
    <row r="929" spans="1:7" x14ac:dyDescent="0.25">
      <c r="A929" t="str">
        <f>"High Content Screening: Science, Techniques and Applications"</f>
        <v>High Content Screening: Science, Techniques and Applications</v>
      </c>
      <c r="B929" t="str">
        <f>"9780470039991"</f>
        <v>9780470039991</v>
      </c>
      <c r="C929">
        <v>81</v>
      </c>
      <c r="D929" t="str">
        <f t="shared" si="67"/>
        <v>USD</v>
      </c>
      <c r="E929" t="str">
        <f>"2008"</f>
        <v>2008</v>
      </c>
      <c r="F929" t="str">
        <f>"Haney"</f>
        <v>Haney</v>
      </c>
      <c r="G929" t="str">
        <f>"safirketab"</f>
        <v>safirketab</v>
      </c>
    </row>
    <row r="930" spans="1:7" x14ac:dyDescent="0.25">
      <c r="A930" t="str">
        <f>"High Energy Materials:Propellants, Explosives and Pyrotechnics"</f>
        <v>High Energy Materials:Propellants, Explosives and Pyrotechnics</v>
      </c>
      <c r="B930" t="str">
        <f>"9783527326105"</f>
        <v>9783527326105</v>
      </c>
      <c r="C930">
        <v>176.4</v>
      </c>
      <c r="D930" t="str">
        <f t="shared" si="67"/>
        <v>USD</v>
      </c>
      <c r="E930" t="str">
        <f>"2010"</f>
        <v>2010</v>
      </c>
      <c r="F930" t="str">
        <f>"Agrawal"</f>
        <v>Agrawal</v>
      </c>
      <c r="G930" t="str">
        <f>"safirketab"</f>
        <v>safirketab</v>
      </c>
    </row>
    <row r="931" spans="1:7" x14ac:dyDescent="0.25">
      <c r="A931" t="str">
        <f>"HIGH PERFORMANCE LIQUID CHROMATOGRAPHY FINGERPRINTING TECHNOLOGY OF THE COMMONLY-USED TRADITIONAL CH"</f>
        <v>HIGH PERFORMANCE LIQUID CHROMATOGRAPHY FINGERPRINTING TECHNOLOGY OF THE COMMONLY-USED TRADITIONAL CH</v>
      </c>
      <c r="B931" t="str">
        <f>"9789814291095"</f>
        <v>9789814291095</v>
      </c>
      <c r="C931">
        <v>63</v>
      </c>
      <c r="D931" t="str">
        <f>"GBP"</f>
        <v>GBP</v>
      </c>
      <c r="E931" t="str">
        <f>"2012"</f>
        <v>2012</v>
      </c>
      <c r="F931" t="str">
        <f>"POON ONG SENG ET AL"</f>
        <v>POON ONG SENG ET AL</v>
      </c>
      <c r="G931" t="str">
        <f>"AsarBartar"</f>
        <v>AsarBartar</v>
      </c>
    </row>
    <row r="932" spans="1:7" x14ac:dyDescent="0.25">
      <c r="A932" t="str">
        <f>"High Performance Pigments"</f>
        <v>High Performance Pigments</v>
      </c>
      <c r="B932" t="str">
        <f>"9783527314058"</f>
        <v>9783527314058</v>
      </c>
      <c r="C932">
        <v>216.75</v>
      </c>
      <c r="D932" t="str">
        <f t="shared" ref="D932:D942" si="68">"USD"</f>
        <v>USD</v>
      </c>
      <c r="E932" t="str">
        <f>"2009"</f>
        <v>2009</v>
      </c>
      <c r="F932" t="str">
        <f>"Faulkner"</f>
        <v>Faulkner</v>
      </c>
      <c r="G932" t="str">
        <f>"safirketab"</f>
        <v>safirketab</v>
      </c>
    </row>
    <row r="933" spans="1:7" x14ac:dyDescent="0.25">
      <c r="A933" t="str">
        <f>"High Temperature Experiments in Chemistry and Materials Science"</f>
        <v>High Temperature Experiments in Chemistry and Materials Science</v>
      </c>
      <c r="B933" t="str">
        <f>"9781118457696"</f>
        <v>9781118457696</v>
      </c>
      <c r="C933">
        <v>97.5</v>
      </c>
      <c r="D933" t="str">
        <f t="shared" si="68"/>
        <v>USD</v>
      </c>
      <c r="E933" t="str">
        <f>"2013"</f>
        <v>2013</v>
      </c>
      <c r="F933" t="str">
        <f>"Motzfeldt"</f>
        <v>Motzfeldt</v>
      </c>
      <c r="G933" t="str">
        <f>"avanddanesh"</f>
        <v>avanddanesh</v>
      </c>
    </row>
    <row r="934" spans="1:7" x14ac:dyDescent="0.25">
      <c r="A934" t="str">
        <f>"High Throughput Bioanalytical Sample Preparation, Methods and Automation Strategies, 2nd Edition"</f>
        <v>High Throughput Bioanalytical Sample Preparation, Methods and Automation Strategies, 2nd Edition</v>
      </c>
      <c r="B934" t="str">
        <f>"9780444637437"</f>
        <v>9780444637437</v>
      </c>
      <c r="C934">
        <v>274.5</v>
      </c>
      <c r="D934" t="str">
        <f t="shared" si="68"/>
        <v>USD</v>
      </c>
      <c r="E934" t="str">
        <f>"2017"</f>
        <v>2017</v>
      </c>
      <c r="F934" t="str">
        <f>"Wells"</f>
        <v>Wells</v>
      </c>
      <c r="G934" t="str">
        <f>"dehkadehketab"</f>
        <v>dehkadehketab</v>
      </c>
    </row>
    <row r="935" spans="1:7" x14ac:dyDescent="0.25">
      <c r="A935" t="str">
        <f>"High-Density Lipoproteins: From Basic Biology to Clinical Aspects"</f>
        <v>High-Density Lipoproteins: From Basic Biology to Clinical Aspects</v>
      </c>
      <c r="B935" t="str">
        <f>"9783527317172"</f>
        <v>9783527317172</v>
      </c>
      <c r="C935">
        <v>135</v>
      </c>
      <c r="D935" t="str">
        <f t="shared" si="68"/>
        <v>USD</v>
      </c>
      <c r="E935" t="str">
        <f>"2007"</f>
        <v>2007</v>
      </c>
      <c r="F935" t="str">
        <f>"Fielding"</f>
        <v>Fielding</v>
      </c>
      <c r="G935" t="str">
        <f>"safirketab"</f>
        <v>safirketab</v>
      </c>
    </row>
    <row r="936" spans="1:7" x14ac:dyDescent="0.25">
      <c r="A936" t="str">
        <f>"High-Density Lipoproteins: Structure, Metabolism, Function and Therapeutics"</f>
        <v>High-Density Lipoproteins: Structure, Metabolism, Function and Therapeutics</v>
      </c>
      <c r="B936" t="str">
        <f>"9780470408216"</f>
        <v>9780470408216</v>
      </c>
      <c r="C936">
        <v>93.6</v>
      </c>
      <c r="D936" t="str">
        <f t="shared" si="68"/>
        <v>USD</v>
      </c>
      <c r="E936" t="str">
        <f>"2012"</f>
        <v>2012</v>
      </c>
      <c r="F936" t="str">
        <f>"Kontush"</f>
        <v>Kontush</v>
      </c>
      <c r="G936" t="str">
        <f>"avanddanesh"</f>
        <v>avanddanesh</v>
      </c>
    </row>
    <row r="937" spans="1:7" x14ac:dyDescent="0.25">
      <c r="A937" t="str">
        <f>"Highlights in Colloid Science"</f>
        <v>Highlights in Colloid Science</v>
      </c>
      <c r="B937" t="str">
        <f>"9783527320370"</f>
        <v>9783527320370</v>
      </c>
      <c r="C937">
        <v>120</v>
      </c>
      <c r="D937" t="str">
        <f t="shared" si="68"/>
        <v>USD</v>
      </c>
      <c r="E937" t="str">
        <f>"2008"</f>
        <v>2008</v>
      </c>
      <c r="F937" t="str">
        <f>"Platikanov"</f>
        <v>Platikanov</v>
      </c>
      <c r="G937" t="str">
        <f>"safirketab"</f>
        <v>safirketab</v>
      </c>
    </row>
    <row r="938" spans="1:7" x14ac:dyDescent="0.25">
      <c r="A938" t="str">
        <f>"Highlights in Computational Chemistry II"</f>
        <v>Highlights in Computational Chemistry II</v>
      </c>
      <c r="B938" t="str">
        <f>"9783540375920"</f>
        <v>9783540375920</v>
      </c>
      <c r="C938">
        <v>100</v>
      </c>
      <c r="D938" t="str">
        <f t="shared" si="68"/>
        <v>USD</v>
      </c>
      <c r="E938" t="str">
        <f>"2006"</f>
        <v>2006</v>
      </c>
      <c r="F938" t="str">
        <f>"Clark,T.(Ed)"</f>
        <v>Clark,T.(Ed)</v>
      </c>
      <c r="G938" t="str">
        <f>"safirketab"</f>
        <v>safirketab</v>
      </c>
    </row>
    <row r="939" spans="1:7" x14ac:dyDescent="0.25">
      <c r="A939" t="str">
        <f>"Highly Efficient OLEDs with Phosphorescent Materials"</f>
        <v>Highly Efficient OLEDs with Phosphorescent Materials</v>
      </c>
      <c r="B939" t="str">
        <f>"9783527405947"</f>
        <v>9783527405947</v>
      </c>
      <c r="C939">
        <v>120</v>
      </c>
      <c r="D939" t="str">
        <f t="shared" si="68"/>
        <v>USD</v>
      </c>
      <c r="E939" t="str">
        <f>"2007"</f>
        <v>2007</v>
      </c>
      <c r="F939" t="str">
        <f>"Yersin"</f>
        <v>Yersin</v>
      </c>
      <c r="G939" t="str">
        <f>"safirketab"</f>
        <v>safirketab</v>
      </c>
    </row>
    <row r="940" spans="1:7" x14ac:dyDescent="0.25">
      <c r="A940" t="str">
        <f>"High-Throughput Analysis for Food Safety"</f>
        <v>High-Throughput Analysis for Food Safety</v>
      </c>
      <c r="B940" t="str">
        <f>"9781118396308"</f>
        <v>9781118396308</v>
      </c>
      <c r="C940">
        <v>93</v>
      </c>
      <c r="D940" t="str">
        <f t="shared" si="68"/>
        <v>USD</v>
      </c>
      <c r="E940" t="str">
        <f>"2014"</f>
        <v>2014</v>
      </c>
      <c r="F940" t="str">
        <f>"Wang"</f>
        <v>Wang</v>
      </c>
      <c r="G940" t="str">
        <f>"avanddanesh"</f>
        <v>avanddanesh</v>
      </c>
    </row>
    <row r="941" spans="1:7" x14ac:dyDescent="0.25">
      <c r="A941" t="str">
        <f>"High-Throughput Screening in Chemical Catalysis: Technologies, Strategies and Applications"</f>
        <v>High-Throughput Screening in Chemical Catalysis: Technologies, Strategies and Applications</v>
      </c>
      <c r="B941" t="str">
        <f>"9783527308149"</f>
        <v>9783527308149</v>
      </c>
      <c r="C941">
        <v>110</v>
      </c>
      <c r="D941" t="str">
        <f t="shared" si="68"/>
        <v>USD</v>
      </c>
      <c r="E941" t="str">
        <f>"2004"</f>
        <v>2004</v>
      </c>
      <c r="F941" t="str">
        <f>"Hagemeyer"</f>
        <v>Hagemeyer</v>
      </c>
      <c r="G941" t="str">
        <f>"avanddanesh"</f>
        <v>avanddanesh</v>
      </c>
    </row>
    <row r="942" spans="1:7" x14ac:dyDescent="0.25">
      <c r="A942" t="str">
        <f>"High-Throughput Screening in Drug Discovery"</f>
        <v>High-Throughput Screening in Drug Discovery</v>
      </c>
      <c r="B942" t="str">
        <f>"9783527312832"</f>
        <v>9783527312832</v>
      </c>
      <c r="C942">
        <v>126</v>
      </c>
      <c r="D942" t="str">
        <f t="shared" si="68"/>
        <v>USD</v>
      </c>
      <c r="E942" t="str">
        <f>"2006"</f>
        <v>2006</v>
      </c>
      <c r="F942" t="str">
        <f>"HÃ¼ser-Chemistry"</f>
        <v>HÃ¼ser-Chemistry</v>
      </c>
      <c r="G942" t="str">
        <f>"safirketab"</f>
        <v>safirketab</v>
      </c>
    </row>
    <row r="943" spans="1:7" x14ac:dyDescent="0.25">
      <c r="A943" t="str">
        <f>"Histochemistry"</f>
        <v>Histochemistry</v>
      </c>
      <c r="B943" t="str">
        <f>"9783110524826"</f>
        <v>9783110524826</v>
      </c>
      <c r="C943">
        <v>58.45</v>
      </c>
      <c r="D943" t="str">
        <f>"EUR"</f>
        <v>EUR</v>
      </c>
      <c r="E943" t="str">
        <f>"2017"</f>
        <v>2017</v>
      </c>
      <c r="F943" t="str">
        <f>"Zhou, Jinsong"</f>
        <v>Zhou, Jinsong</v>
      </c>
      <c r="G943" t="str">
        <f>"AsarBartar"</f>
        <v>AsarBartar</v>
      </c>
    </row>
    <row r="944" spans="1:7" x14ac:dyDescent="0.25">
      <c r="A944" t="str">
        <f>"Histological and Histochemical Methods, fifth edition: Theory and Practice"</f>
        <v>Histological and Histochemical Methods, fifth edition: Theory and Practice</v>
      </c>
      <c r="B944" t="str">
        <f>"9781907904325"</f>
        <v>9781907904325</v>
      </c>
      <c r="C944">
        <v>42.5</v>
      </c>
      <c r="D944" t="str">
        <f>"GBP"</f>
        <v>GBP</v>
      </c>
      <c r="E944" t="str">
        <f>"2015"</f>
        <v>2015</v>
      </c>
      <c r="F944" t="str">
        <f>"John Kiernan"</f>
        <v>John Kiernan</v>
      </c>
      <c r="G944" t="str">
        <f>"AsarBartar"</f>
        <v>AsarBartar</v>
      </c>
    </row>
    <row r="945" spans="1:7" x14ac:dyDescent="0.25">
      <c r="A945" t="str">
        <f>"Hit and Lead Profiling: Identification and Optimization of Drug-like Molecules"</f>
        <v>Hit and Lead Profiling: Identification and Optimization of Drug-like Molecules</v>
      </c>
      <c r="B945" t="str">
        <f>"9783527323319"</f>
        <v>9783527323319</v>
      </c>
      <c r="C945">
        <v>104.4</v>
      </c>
      <c r="D945" t="str">
        <f>"USD"</f>
        <v>USD</v>
      </c>
      <c r="E945" t="str">
        <f>"2009"</f>
        <v>2009</v>
      </c>
      <c r="F945" t="str">
        <f>"Faller"</f>
        <v>Faller</v>
      </c>
      <c r="G945" t="str">
        <f>"avanddanesh"</f>
        <v>avanddanesh</v>
      </c>
    </row>
    <row r="946" spans="1:7" x14ac:dyDescent="0.25">
      <c r="A946" t="str">
        <f>"Homogeneous Catalysis for Unreactive Bond Activation"</f>
        <v>Homogeneous Catalysis for Unreactive Bond Activation</v>
      </c>
      <c r="B946" t="str">
        <f>"9781118452233"</f>
        <v>9781118452233</v>
      </c>
      <c r="C946">
        <v>150.69999999999999</v>
      </c>
      <c r="D946" t="str">
        <f>"USD"</f>
        <v>USD</v>
      </c>
      <c r="E946" t="str">
        <f>"2014"</f>
        <v>2014</v>
      </c>
      <c r="F946" t="str">
        <f>"Shi"</f>
        <v>Shi</v>
      </c>
      <c r="G946" t="str">
        <f>"avanddanesh"</f>
        <v>avanddanesh</v>
      </c>
    </row>
    <row r="947" spans="1:7" x14ac:dyDescent="0.25">
      <c r="A947" t="str">
        <f>"Homogeneous Catalysis: Mechanisms and Industrial Applications,2e"</f>
        <v>Homogeneous Catalysis: Mechanisms and Industrial Applications,2e</v>
      </c>
      <c r="B947" t="str">
        <f>"9781118139257"</f>
        <v>9781118139257</v>
      </c>
      <c r="C947">
        <v>96.8</v>
      </c>
      <c r="D947" t="str">
        <f>"USD"</f>
        <v>USD</v>
      </c>
      <c r="E947" t="str">
        <f>"2014"</f>
        <v>2014</v>
      </c>
      <c r="F947" t="str">
        <f>"Bhaduri"</f>
        <v>Bhaduri</v>
      </c>
      <c r="G947" t="str">
        <f>"avanddanesh"</f>
        <v>avanddanesh</v>
      </c>
    </row>
    <row r="948" spans="1:7" x14ac:dyDescent="0.25">
      <c r="A948" t="str">
        <f>"Homogeneous Catalysts: Activity - Stability - Deactivation"</f>
        <v>Homogeneous Catalysts: Activity - Stability - Deactivation</v>
      </c>
      <c r="B948" t="str">
        <f>"9783527323296"</f>
        <v>9783527323296</v>
      </c>
      <c r="C948">
        <v>78.8</v>
      </c>
      <c r="D948" t="str">
        <f>"USD"</f>
        <v>USD</v>
      </c>
      <c r="E948" t="str">
        <f>"2011"</f>
        <v>2011</v>
      </c>
      <c r="F948" t="str">
        <f>"Chadwick"</f>
        <v>Chadwick</v>
      </c>
      <c r="G948" t="str">
        <f>"avanddanesh"</f>
        <v>avanddanesh</v>
      </c>
    </row>
    <row r="949" spans="1:7" x14ac:dyDescent="0.25">
      <c r="A949" t="str">
        <f>"Homogeneous Gold Catalysis"</f>
        <v>Homogeneous Gold Catalysis</v>
      </c>
      <c r="B949" t="str">
        <f>"9783319137216"</f>
        <v>9783319137216</v>
      </c>
      <c r="C949">
        <v>224.99</v>
      </c>
      <c r="D949" t="str">
        <f>"EUR"</f>
        <v>EUR</v>
      </c>
      <c r="E949" t="str">
        <f>"2015"</f>
        <v>2015</v>
      </c>
      <c r="F949" t="str">
        <f>"Slaughter"</f>
        <v>Slaughter</v>
      </c>
      <c r="G949" t="str">
        <f>"negarestanabi"</f>
        <v>negarestanabi</v>
      </c>
    </row>
    <row r="950" spans="1:7" x14ac:dyDescent="0.25">
      <c r="A950" t="str">
        <f>"HPLC Expert: Possibilities and Limitations of Modern High Performance Liquid Chromatography"</f>
        <v>HPLC Expert: Possibilities and Limitations of Modern High Performance Liquid Chromatography</v>
      </c>
      <c r="B950" t="str">
        <f>"9783527336814"</f>
        <v>9783527336814</v>
      </c>
      <c r="C950">
        <v>114.8</v>
      </c>
      <c r="D950" t="str">
        <f>"USD"</f>
        <v>USD</v>
      </c>
      <c r="E950" t="str">
        <f>"2016"</f>
        <v>2016</v>
      </c>
      <c r="F950" t="str">
        <f>"Kromidas"</f>
        <v>Kromidas</v>
      </c>
      <c r="G950" t="str">
        <f>"avanddanesh"</f>
        <v>avanddanesh</v>
      </c>
    </row>
    <row r="951" spans="1:7" x14ac:dyDescent="0.25">
      <c r="A951" t="str">
        <f>"HPLC-Expert II: Optimizing the Benefits of HPLC/UHPLC"</f>
        <v>HPLC-Expert II: Optimizing the Benefits of HPLC/UHPLC</v>
      </c>
      <c r="B951" t="str">
        <f>"9783527339723"</f>
        <v>9783527339723</v>
      </c>
      <c r="C951">
        <v>99</v>
      </c>
      <c r="D951" t="str">
        <f>"USD"</f>
        <v>USD</v>
      </c>
      <c r="E951" t="str">
        <f>"2017"</f>
        <v>2017</v>
      </c>
      <c r="F951" t="str">
        <f>"Kromidas"</f>
        <v>Kromidas</v>
      </c>
      <c r="G951" t="str">
        <f>"avanddanesh"</f>
        <v>avanddanesh</v>
      </c>
    </row>
    <row r="952" spans="1:7" x14ac:dyDescent="0.25">
      <c r="A952" t="str">
        <f>"HPLC-MS Handbook for Practitioners"</f>
        <v>HPLC-MS Handbook for Practitioners</v>
      </c>
      <c r="B952" t="str">
        <f>"9783527343072"</f>
        <v>9783527343072</v>
      </c>
      <c r="C952">
        <v>108</v>
      </c>
      <c r="D952" t="str">
        <f>"USD"</f>
        <v>USD</v>
      </c>
      <c r="E952" t="str">
        <f>"2017"</f>
        <v>2017</v>
      </c>
      <c r="F952" t="str">
        <f>"Kromidas"</f>
        <v>Kromidas</v>
      </c>
      <c r="G952" t="str">
        <f>"avanddanesh"</f>
        <v>avanddanesh</v>
      </c>
    </row>
    <row r="953" spans="1:7" x14ac:dyDescent="0.25">
      <c r="A953" t="str">
        <f>"Human and Ecological Risk Assessment:Theory and Practice"</f>
        <v>Human and Ecological Risk Assessment:Theory and Practice</v>
      </c>
      <c r="B953" t="str">
        <f>"9780470253199"</f>
        <v>9780470253199</v>
      </c>
      <c r="C953">
        <v>93.75</v>
      </c>
      <c r="D953" t="str">
        <f>"USD"</f>
        <v>USD</v>
      </c>
      <c r="E953" t="str">
        <f>"2009"</f>
        <v>2009</v>
      </c>
      <c r="F953" t="str">
        <f>"Paustenbach"</f>
        <v>Paustenbach</v>
      </c>
      <c r="G953" t="str">
        <f>"safirketab"</f>
        <v>safirketab</v>
      </c>
    </row>
    <row r="954" spans="1:7" x14ac:dyDescent="0.25">
      <c r="A954" t="str">
        <f>"Human Biochemistry"</f>
        <v>Human Biochemistry</v>
      </c>
      <c r="B954" t="str">
        <f>"9780123838384"</f>
        <v>9780123838384</v>
      </c>
      <c r="C954">
        <v>121.5</v>
      </c>
      <c r="D954" t="str">
        <f>"USD"</f>
        <v>USD</v>
      </c>
      <c r="E954" t="str">
        <f>"2017"</f>
        <v>2017</v>
      </c>
      <c r="F954" t="str">
        <f>"Litwack"</f>
        <v>Litwack</v>
      </c>
      <c r="G954" t="str">
        <f>"dehkadehketab"</f>
        <v>dehkadehketab</v>
      </c>
    </row>
    <row r="955" spans="1:7" x14ac:dyDescent="0.25">
      <c r="A955" t="str">
        <f>"Human Longevity: Omega-3 Fatty Acids, Bioenergetics, Molecular Biology, and Evolution"</f>
        <v>Human Longevity: Omega-3 Fatty Acids, Bioenergetics, Molecular Biology, and Evolution</v>
      </c>
      <c r="B955" t="str">
        <f>"9781466594869"</f>
        <v>9781466594869</v>
      </c>
      <c r="C955">
        <v>101.15</v>
      </c>
      <c r="D955" t="str">
        <f>"GBP"</f>
        <v>GBP</v>
      </c>
      <c r="E955" t="str">
        <f>"2015"</f>
        <v>2015</v>
      </c>
      <c r="F955" t="str">
        <f>"David L. Valentine"</f>
        <v>David L. Valentine</v>
      </c>
      <c r="G955" t="str">
        <f>"AsarBartar"</f>
        <v>AsarBartar</v>
      </c>
    </row>
    <row r="956" spans="1:7" x14ac:dyDescent="0.25">
      <c r="A956" t="str">
        <f>"Human-based Systems for Translational Research"</f>
        <v>Human-based Systems for Translational Research</v>
      </c>
      <c r="B956" t="str">
        <f>"9781849738255"</f>
        <v>9781849738255</v>
      </c>
      <c r="C956">
        <v>85.3</v>
      </c>
      <c r="D956" t="str">
        <f>"GBP"</f>
        <v>GBP</v>
      </c>
      <c r="E956" t="str">
        <f>"2014"</f>
        <v>2014</v>
      </c>
      <c r="F956" t="str">
        <f>"Robert Coleman(Edito"</f>
        <v>Robert Coleman(Edito</v>
      </c>
      <c r="G956" t="str">
        <f>"arzinbooks"</f>
        <v>arzinbooks</v>
      </c>
    </row>
    <row r="957" spans="1:7" x14ac:dyDescent="0.25">
      <c r="A957" t="str">
        <f>"Hybrid Organic-Inorganic Interfaces: Towards Advanced Functional Materials, 2V Set"</f>
        <v>Hybrid Organic-Inorganic Interfaces: Towards Advanced Functional Materials, 2V Set</v>
      </c>
      <c r="B957" t="str">
        <f>"9783527342556"</f>
        <v>9783527342556</v>
      </c>
      <c r="C957">
        <v>486</v>
      </c>
      <c r="D957" t="str">
        <f>"USD"</f>
        <v>USD</v>
      </c>
      <c r="E957" t="str">
        <f>"2018"</f>
        <v>2018</v>
      </c>
      <c r="F957" t="str">
        <f>"Delville"</f>
        <v>Delville</v>
      </c>
      <c r="G957" t="str">
        <f>"avanddanesh"</f>
        <v>avanddanesh</v>
      </c>
    </row>
    <row r="958" spans="1:7" x14ac:dyDescent="0.25">
      <c r="A958" t="str">
        <f>"Hydrocarbon Chemistry, 2V Set,3e"</f>
        <v>Hydrocarbon Chemistry, 2V Set,3e</v>
      </c>
      <c r="B958" t="str">
        <f>"9781119390510"</f>
        <v>9781119390510</v>
      </c>
      <c r="C958">
        <v>405</v>
      </c>
      <c r="D958" t="str">
        <f>"USD"</f>
        <v>USD</v>
      </c>
      <c r="E958" t="str">
        <f>"2017"</f>
        <v>2017</v>
      </c>
      <c r="F958" t="str">
        <f>"Olah"</f>
        <v>Olah</v>
      </c>
      <c r="G958" t="str">
        <f>"avanddanesh"</f>
        <v>avanddanesh</v>
      </c>
    </row>
    <row r="959" spans="1:7" x14ac:dyDescent="0.25">
      <c r="A959" t="str">
        <f>"Hydroformylations: Fundamentals, Processes and Applications in Organic Synthesis"</f>
        <v>Hydroformylations: Fundamentals, Processes and Applications in Organic Synthesis</v>
      </c>
      <c r="B959" t="str">
        <f>"9783527335527"</f>
        <v>9783527335527</v>
      </c>
      <c r="C959">
        <v>344.3</v>
      </c>
      <c r="D959" t="str">
        <f>"USD"</f>
        <v>USD</v>
      </c>
      <c r="E959" t="str">
        <f>"2016"</f>
        <v>2016</v>
      </c>
      <c r="F959" t="str">
        <f>"B?rner"</f>
        <v>B?rner</v>
      </c>
      <c r="G959" t="str">
        <f>"avanddanesh"</f>
        <v>avanddanesh</v>
      </c>
    </row>
    <row r="960" spans="1:7" x14ac:dyDescent="0.25">
      <c r="A960" t="str">
        <f>"Hydrogels in Cell-Based Therapies"</f>
        <v>Hydrogels in Cell-Based Therapies</v>
      </c>
      <c r="B960" t="str">
        <f>"9781849737982"</f>
        <v>9781849737982</v>
      </c>
      <c r="C960">
        <v>85.3</v>
      </c>
      <c r="D960" t="str">
        <f>"GBP"</f>
        <v>GBP</v>
      </c>
      <c r="E960" t="str">
        <f>"2014"</f>
        <v>2014</v>
      </c>
      <c r="F960" t="str">
        <f>"Che J Connon(Editor)"</f>
        <v>Che J Connon(Editor)</v>
      </c>
      <c r="G960" t="str">
        <f>"arzinbooks"</f>
        <v>arzinbooks</v>
      </c>
    </row>
    <row r="961" spans="1:7" x14ac:dyDescent="0.25">
      <c r="A961" t="str">
        <f>"Hydrogen and Fuel Cells: Fundamentals, Technologies and Applications"</f>
        <v>Hydrogen and Fuel Cells: Fundamentals, Technologies and Applications</v>
      </c>
      <c r="B961" t="str">
        <f>"9783527327119"</f>
        <v>9783527327119</v>
      </c>
      <c r="C961">
        <v>146.80000000000001</v>
      </c>
      <c r="D961" t="str">
        <f>"USD"</f>
        <v>USD</v>
      </c>
      <c r="E961" t="str">
        <f>"2010"</f>
        <v>2010</v>
      </c>
      <c r="F961" t="str">
        <f>"Stolten"</f>
        <v>Stolten</v>
      </c>
      <c r="G961" t="str">
        <f>"avanddanesh"</f>
        <v>avanddanesh</v>
      </c>
    </row>
    <row r="962" spans="1:7" x14ac:dyDescent="0.25">
      <c r="A962" t="str">
        <f>"Hydrogen Bonded Supramolecular Structures"</f>
        <v>Hydrogen Bonded Supramolecular Structures</v>
      </c>
      <c r="B962" t="str">
        <f>"9783662457559"</f>
        <v>9783662457559</v>
      </c>
      <c r="C962">
        <v>89.99</v>
      </c>
      <c r="D962" t="str">
        <f>"EUR"</f>
        <v>EUR</v>
      </c>
      <c r="E962" t="str">
        <f>"2015"</f>
        <v>2015</v>
      </c>
      <c r="F962" t="str">
        <f>"Li"</f>
        <v>Li</v>
      </c>
      <c r="G962" t="str">
        <f>"negarestanabi"</f>
        <v>negarestanabi</v>
      </c>
    </row>
    <row r="963" spans="1:7" x14ac:dyDescent="0.25">
      <c r="A963" t="str">
        <f>"Hydrogen Bonding and Transfer in the Excited State, 2V Set"</f>
        <v>Hydrogen Bonding and Transfer in the Excited State, 2V Set</v>
      </c>
      <c r="B963" t="str">
        <f>"9780470666777"</f>
        <v>9780470666777</v>
      </c>
      <c r="C963">
        <v>166</v>
      </c>
      <c r="D963" t="str">
        <f t="shared" ref="D963:D969" si="69">"USD"</f>
        <v>USD</v>
      </c>
      <c r="E963" t="str">
        <f>"2010"</f>
        <v>2010</v>
      </c>
      <c r="F963" t="str">
        <f>"Han"</f>
        <v>Han</v>
      </c>
      <c r="G963" t="str">
        <f>"avanddanesh"</f>
        <v>avanddanesh</v>
      </c>
    </row>
    <row r="964" spans="1:7" x14ac:dyDescent="0.25">
      <c r="A964" t="str">
        <f>"Hydrogen Bonding and Transfer in the Excited State, 2V Set"</f>
        <v>Hydrogen Bonding and Transfer in the Excited State, 2V Set</v>
      </c>
      <c r="B964" t="str">
        <f>"9780470666777"</f>
        <v>9780470666777</v>
      </c>
      <c r="C964">
        <v>166</v>
      </c>
      <c r="D964" t="str">
        <f t="shared" si="69"/>
        <v>USD</v>
      </c>
      <c r="E964" t="str">
        <f>"2010"</f>
        <v>2010</v>
      </c>
      <c r="F964" t="str">
        <f>"Han"</f>
        <v>Han</v>
      </c>
      <c r="G964" t="str">
        <f>"safirketab"</f>
        <v>safirketab</v>
      </c>
    </row>
    <row r="965" spans="1:7" x14ac:dyDescent="0.25">
      <c r="A965" t="str">
        <f>"Hydrogen Bonding in Polymeric Materials"</f>
        <v>Hydrogen Bonding in Polymeric Materials</v>
      </c>
      <c r="B965" t="str">
        <f>"9783527341887"</f>
        <v>9783527341887</v>
      </c>
      <c r="C965">
        <v>184.5</v>
      </c>
      <c r="D965" t="str">
        <f t="shared" si="69"/>
        <v>USD</v>
      </c>
      <c r="E965" t="str">
        <f>"2018"</f>
        <v>2018</v>
      </c>
      <c r="F965" t="str">
        <f>"Kuo"</f>
        <v>Kuo</v>
      </c>
      <c r="G965" t="str">
        <f>"avanddanesh"</f>
        <v>avanddanesh</v>
      </c>
    </row>
    <row r="966" spans="1:7" x14ac:dyDescent="0.25">
      <c r="A966" t="str">
        <f>"Hydrogen Exchange Mass Spectrometry of Proteins: Fundamentals, Methods, and Applications"</f>
        <v>Hydrogen Exchange Mass Spectrometry of Proteins: Fundamentals, Methods, and Applications</v>
      </c>
      <c r="B966" t="str">
        <f>"9781118616499"</f>
        <v>9781118616499</v>
      </c>
      <c r="C966">
        <v>89.3</v>
      </c>
      <c r="D966" t="str">
        <f t="shared" si="69"/>
        <v>USD</v>
      </c>
      <c r="E966" t="str">
        <f>"2016"</f>
        <v>2016</v>
      </c>
      <c r="F966" t="str">
        <f>"Weis"</f>
        <v>Weis</v>
      </c>
      <c r="G966" t="str">
        <f>"avanddanesh"</f>
        <v>avanddanesh</v>
      </c>
    </row>
    <row r="967" spans="1:7" x14ac:dyDescent="0.25">
      <c r="A967" t="str">
        <f>"Hydrogen Generation, Storage and Utilization"</f>
        <v>Hydrogen Generation, Storage and Utilization</v>
      </c>
      <c r="B967" t="str">
        <f>"9781118140635"</f>
        <v>9781118140635</v>
      </c>
      <c r="C967">
        <v>90</v>
      </c>
      <c r="D967" t="str">
        <f t="shared" si="69"/>
        <v>USD</v>
      </c>
      <c r="E967" t="str">
        <f>"2014"</f>
        <v>2014</v>
      </c>
      <c r="F967" t="str">
        <f>"Zhang"</f>
        <v>Zhang</v>
      </c>
      <c r="G967" t="str">
        <f>"avanddanesh"</f>
        <v>avanddanesh</v>
      </c>
    </row>
    <row r="968" spans="1:7" x14ac:dyDescent="0.25">
      <c r="A968" t="str">
        <f>"Hydrogen Science and Engineering: Materials, Processes, Systems and Technology, 2V Set"</f>
        <v>Hydrogen Science and Engineering: Materials, Processes, Systems and Technology, 2V Set</v>
      </c>
      <c r="B968" t="str">
        <f>"9783527332380"</f>
        <v>9783527332380</v>
      </c>
      <c r="C968">
        <v>433.5</v>
      </c>
      <c r="D968" t="str">
        <f t="shared" si="69"/>
        <v>USD</v>
      </c>
      <c r="E968" t="str">
        <f>"2016"</f>
        <v>2016</v>
      </c>
      <c r="F968" t="str">
        <f>"Stolten"</f>
        <v>Stolten</v>
      </c>
      <c r="G968" t="str">
        <f>"avanddanesh"</f>
        <v>avanddanesh</v>
      </c>
    </row>
    <row r="969" spans="1:7" x14ac:dyDescent="0.25">
      <c r="A969" t="str">
        <f>"Hydrogen Storage Technologies"</f>
        <v>Hydrogen Storage Technologies</v>
      </c>
      <c r="B969" t="str">
        <f>"9783527326839"</f>
        <v>9783527326839</v>
      </c>
      <c r="C969">
        <v>105.6</v>
      </c>
      <c r="D969" t="str">
        <f t="shared" si="69"/>
        <v>USD</v>
      </c>
      <c r="E969" t="str">
        <f>"2012"</f>
        <v>2012</v>
      </c>
      <c r="F969" t="str">
        <f>"Godula-Jopek"</f>
        <v>Godula-Jopek</v>
      </c>
      <c r="G969" t="str">
        <f>"avanddanesh"</f>
        <v>avanddanesh</v>
      </c>
    </row>
    <row r="970" spans="1:7" x14ac:dyDescent="0.25">
      <c r="A970" t="str">
        <f>"Hydrogen Transfer Reactions: Reductions and Beyond"</f>
        <v>Hydrogen Transfer Reactions: Reductions and Beyond</v>
      </c>
      <c r="B970" t="str">
        <f>"9783319430492"</f>
        <v>9783319430492</v>
      </c>
      <c r="C970">
        <v>269.99</v>
      </c>
      <c r="D970" t="str">
        <f>"EUR"</f>
        <v>EUR</v>
      </c>
      <c r="E970" t="str">
        <f>"2016"</f>
        <v>2016</v>
      </c>
      <c r="F970" t="str">
        <f>"Guillena"</f>
        <v>Guillena</v>
      </c>
      <c r="G970" t="str">
        <f>"negarestanabi"</f>
        <v>negarestanabi</v>
      </c>
    </row>
    <row r="971" spans="1:7" x14ac:dyDescent="0.25">
      <c r="A971" t="str">
        <f>"Hydrogen-Transfer Reactions, 4V Set"</f>
        <v>Hydrogen-Transfer Reactions, 4V Set</v>
      </c>
      <c r="B971" t="str">
        <f>"9783527307777"</f>
        <v>9783527307777</v>
      </c>
      <c r="C971">
        <v>380</v>
      </c>
      <c r="D971" t="str">
        <f>"USD"</f>
        <v>USD</v>
      </c>
      <c r="E971" t="str">
        <f>"2006"</f>
        <v>2006</v>
      </c>
      <c r="F971" t="str">
        <f>"Hynes"</f>
        <v>Hynes</v>
      </c>
      <c r="G971" t="str">
        <f>"avanddanesh"</f>
        <v>avanddanesh</v>
      </c>
    </row>
    <row r="972" spans="1:7" x14ac:dyDescent="0.25">
      <c r="A972" t="str">
        <f>"Hydrolysis of Metal Ions"</f>
        <v>Hydrolysis of Metal Ions</v>
      </c>
      <c r="B972" t="str">
        <f>"9783527330102"</f>
        <v>9783527330102</v>
      </c>
      <c r="C972">
        <v>378.3</v>
      </c>
      <c r="D972" t="str">
        <f>"USD"</f>
        <v>USD</v>
      </c>
      <c r="E972" t="str">
        <f>"2016"</f>
        <v>2016</v>
      </c>
      <c r="F972" t="str">
        <f>"Brown"</f>
        <v>Brown</v>
      </c>
      <c r="G972" t="str">
        <f>"avanddanesh"</f>
        <v>avanddanesh</v>
      </c>
    </row>
    <row r="973" spans="1:7" x14ac:dyDescent="0.25">
      <c r="A973" t="str">
        <f>"Hydrometallurgy of Rare Earths, Separation and Extraction"</f>
        <v>Hydrometallurgy of Rare Earths, Separation and Extraction</v>
      </c>
      <c r="B973" t="str">
        <f>"9780128139189"</f>
        <v>9780128139189</v>
      </c>
      <c r="C973">
        <v>234</v>
      </c>
      <c r="D973" t="str">
        <f>"USD"</f>
        <v>USD</v>
      </c>
      <c r="E973" t="str">
        <f>"2018"</f>
        <v>2018</v>
      </c>
      <c r="F973" t="str">
        <f>"Qi"</f>
        <v>Qi</v>
      </c>
      <c r="G973" t="str">
        <f>"dehkadehketab"</f>
        <v>dehkadehketab</v>
      </c>
    </row>
    <row r="974" spans="1:7" x14ac:dyDescent="0.25">
      <c r="A974" t="str">
        <f>"HYDROPHILLIC INTERACTION LIQUID CHR"</f>
        <v>HYDROPHILLIC INTERACTION LIQUID CHR</v>
      </c>
      <c r="B974" t="str">
        <f>"9781439807538"</f>
        <v>9781439807538</v>
      </c>
      <c r="C974">
        <v>32.4</v>
      </c>
      <c r="D974" t="str">
        <f>"GBP"</f>
        <v>GBP</v>
      </c>
      <c r="E974" t="str">
        <f>"2011"</f>
        <v>2011</v>
      </c>
      <c r="F974" t="str">
        <f>"WANG"</f>
        <v>WANG</v>
      </c>
      <c r="G974" t="str">
        <f>"AsarBartar"</f>
        <v>AsarBartar</v>
      </c>
    </row>
    <row r="975" spans="1:7" x14ac:dyDescent="0.25">
      <c r="A975" t="str">
        <f>"Hydrothermal Properties of Materials"</f>
        <v>Hydrothermal Properties of Materials</v>
      </c>
      <c r="B975" t="str">
        <f>"9780470094655"</f>
        <v>9780470094655</v>
      </c>
      <c r="C975">
        <v>114</v>
      </c>
      <c r="D975" t="str">
        <f>"USD"</f>
        <v>USD</v>
      </c>
      <c r="E975" t="str">
        <f>"2008"</f>
        <v>2008</v>
      </c>
      <c r="F975" t="str">
        <f>"Valyashko"</f>
        <v>Valyashko</v>
      </c>
      <c r="G975" t="str">
        <f>"avanddanesh"</f>
        <v>avanddanesh</v>
      </c>
    </row>
    <row r="976" spans="1:7" x14ac:dyDescent="0.25">
      <c r="A976" t="str">
        <f>"Hydrothermal Properties of Materials:Experimental Data on Aqueous Phase Equilibria"</f>
        <v>Hydrothermal Properties of Materials:Experimental Data on Aqueous Phase Equilibria</v>
      </c>
      <c r="B976" t="str">
        <f>"9780470094655"</f>
        <v>9780470094655</v>
      </c>
      <c r="C976">
        <v>114</v>
      </c>
      <c r="D976" t="str">
        <f>"USD"</f>
        <v>USD</v>
      </c>
      <c r="E976" t="str">
        <f>"2008"</f>
        <v>2008</v>
      </c>
      <c r="F976" t="str">
        <f>"Valyashko"</f>
        <v>Valyashko</v>
      </c>
      <c r="G976" t="str">
        <f>"safirketab"</f>
        <v>safirketab</v>
      </c>
    </row>
    <row r="977" spans="1:7" x14ac:dyDescent="0.25">
      <c r="A977" t="str">
        <f>"Hypercarbon Chemistry,2e"</f>
        <v>Hypercarbon Chemistry,2e</v>
      </c>
      <c r="B977" t="str">
        <f>"9780470935682"</f>
        <v>9780470935682</v>
      </c>
      <c r="C977">
        <v>58</v>
      </c>
      <c r="D977" t="str">
        <f>"USD"</f>
        <v>USD</v>
      </c>
      <c r="E977" t="str">
        <f>"2011"</f>
        <v>2011</v>
      </c>
      <c r="F977" t="str">
        <f>"Olah"</f>
        <v>Olah</v>
      </c>
      <c r="G977" t="str">
        <f>"avanddanesh"</f>
        <v>avanddanesh</v>
      </c>
    </row>
    <row r="978" spans="1:7" x14ac:dyDescent="0.25">
      <c r="A978" t="str">
        <f>"HYPH &amp; ALTER METH DET CHRO"</f>
        <v>HYPH &amp; ALTER METH DET CHRO</v>
      </c>
      <c r="B978" t="str">
        <f>"9780849390777"</f>
        <v>9780849390777</v>
      </c>
      <c r="C978">
        <v>76.8</v>
      </c>
      <c r="D978" t="str">
        <f>"GBP"</f>
        <v>GBP</v>
      </c>
      <c r="E978" t="str">
        <f>"2012"</f>
        <v>2012</v>
      </c>
      <c r="F978" t="str">
        <f>"R. ANDREW SHALLIKER"</f>
        <v>R. ANDREW SHALLIKER</v>
      </c>
      <c r="G978" t="str">
        <f>"AsarBartar"</f>
        <v>AsarBartar</v>
      </c>
    </row>
    <row r="979" spans="1:7" x14ac:dyDescent="0.25">
      <c r="A979" t="str">
        <f>"ICH Quality Guidelines: An Implementation Guide"</f>
        <v>ICH Quality Guidelines: An Implementation Guide</v>
      </c>
      <c r="B979" t="str">
        <f>"9781118971116"</f>
        <v>9781118971116</v>
      </c>
      <c r="C979">
        <v>315</v>
      </c>
      <c r="D979" t="str">
        <f>"USD"</f>
        <v>USD</v>
      </c>
      <c r="E979" t="str">
        <f>"2017"</f>
        <v>2017</v>
      </c>
      <c r="F979" t="str">
        <f>"Teasdale"</f>
        <v>Teasdale</v>
      </c>
      <c r="G979" t="str">
        <f>"avanddanesh"</f>
        <v>avanddanesh</v>
      </c>
    </row>
    <row r="980" spans="1:7" x14ac:dyDescent="0.25">
      <c r="A980" t="str">
        <f>"Ideas in Chemistry and Molecular Sciences: 3V Set"</f>
        <v>Ideas in Chemistry and Molecular Sciences: 3V Set</v>
      </c>
      <c r="B980" t="str">
        <f>"9783527328758"</f>
        <v>9783527328758</v>
      </c>
      <c r="C980">
        <v>302.39</v>
      </c>
      <c r="D980" t="str">
        <f>"USD"</f>
        <v>USD</v>
      </c>
      <c r="E980" t="str">
        <f>"2010"</f>
        <v>2010</v>
      </c>
      <c r="F980" t="str">
        <f>"Pignataro"</f>
        <v>Pignataro</v>
      </c>
      <c r="G980" t="str">
        <f>"safirketab"</f>
        <v>safirketab</v>
      </c>
    </row>
    <row r="981" spans="1:7" x14ac:dyDescent="0.25">
      <c r="A981" t="str">
        <f>"Ideas in Chemistry and Molecular Sciences:Where Chemistry Meets Life"</f>
        <v>Ideas in Chemistry and Molecular Sciences:Where Chemistry Meets Life</v>
      </c>
      <c r="B981" t="str">
        <f>"9783527325412"</f>
        <v>9783527325412</v>
      </c>
      <c r="C981">
        <v>107.1</v>
      </c>
      <c r="D981" t="str">
        <f>"USD"</f>
        <v>USD</v>
      </c>
      <c r="E981" t="str">
        <f>"2010"</f>
        <v>2010</v>
      </c>
      <c r="F981" t="str">
        <f>"Pignataro"</f>
        <v>Pignataro</v>
      </c>
      <c r="G981" t="str">
        <f>"safirketab"</f>
        <v>safirketab</v>
      </c>
    </row>
    <row r="982" spans="1:7" x14ac:dyDescent="0.25">
      <c r="A982" t="str">
        <f>"Imaging Marine Life: Macrophotography and Microscopy Approaches for Marine Biology"</f>
        <v>Imaging Marine Life: Macrophotography and Microscopy Approaches for Marine Biology</v>
      </c>
      <c r="B982" t="str">
        <f>"9783527327447"</f>
        <v>9783527327447</v>
      </c>
      <c r="C982">
        <v>114.4</v>
      </c>
      <c r="D982" t="str">
        <f>"USD"</f>
        <v>USD</v>
      </c>
      <c r="E982" t="str">
        <f>"2013"</f>
        <v>2013</v>
      </c>
      <c r="F982" t="str">
        <f>"Reynaud"</f>
        <v>Reynaud</v>
      </c>
      <c r="G982" t="str">
        <f>"avanddanesh"</f>
        <v>avanddanesh</v>
      </c>
    </row>
    <row r="983" spans="1:7" x14ac:dyDescent="0.25">
      <c r="A983" t="str">
        <f>"Immittance Spectroscopy: Applications to Material Systems"</f>
        <v>Immittance Spectroscopy: Applications to Material Systems</v>
      </c>
      <c r="B983" t="str">
        <f>"9781119184850"</f>
        <v>9781119184850</v>
      </c>
      <c r="C983">
        <v>202.5</v>
      </c>
      <c r="D983" t="str">
        <f>"USD"</f>
        <v>USD</v>
      </c>
      <c r="E983" t="str">
        <f>"2018"</f>
        <v>2018</v>
      </c>
      <c r="F983" t="str">
        <f>"Alim"</f>
        <v>Alim</v>
      </c>
      <c r="G983" t="str">
        <f>"avanddanesh"</f>
        <v>avanddanesh</v>
      </c>
    </row>
    <row r="984" spans="1:7" x14ac:dyDescent="0.25">
      <c r="A984" t="str">
        <f>"IMPLEMENTING QUALITY IN LABORATORY POLICIES AND PROCESSES: USING TEMPLATES, PROJECT MANAGEMENT, AND SIX SIGMA"</f>
        <v>IMPLEMENTING QUALITY IN LABORATORY POLICIES AND PROCESSES: USING TEMPLATES, PROJECT MANAGEMENT, AND SIX SIGMA</v>
      </c>
      <c r="B984" t="str">
        <f>"9781420073041"</f>
        <v>9781420073041</v>
      </c>
      <c r="C984">
        <v>144.6</v>
      </c>
      <c r="D984" t="str">
        <f>"GBP"</f>
        <v>GBP</v>
      </c>
      <c r="E984" t="str">
        <f>"2010"</f>
        <v>2010</v>
      </c>
      <c r="F984" t="str">
        <f>"STEPHANIE DRILLING("</f>
        <v>STEPHANIE DRILLING(</v>
      </c>
      <c r="G984" t="str">
        <f>"AsarBartar"</f>
        <v>AsarBartar</v>
      </c>
    </row>
    <row r="985" spans="1:7" x14ac:dyDescent="0.25">
      <c r="A985" t="str">
        <f>"Importance of Pi-Interactions in Crystal Engineering: Frontiers in Crystal Engineering,2e"</f>
        <v>Importance of Pi-Interactions in Crystal Engineering: Frontiers in Crystal Engineering,2e</v>
      </c>
      <c r="B985" t="str">
        <f>"9780470688274"</f>
        <v>9780470688274</v>
      </c>
      <c r="C985">
        <v>90</v>
      </c>
      <c r="D985" t="str">
        <f>"USD"</f>
        <v>USD</v>
      </c>
      <c r="E985" t="str">
        <f>"2012"</f>
        <v>2012</v>
      </c>
      <c r="F985" t="str">
        <f>"Tiekink"</f>
        <v>Tiekink</v>
      </c>
      <c r="G985" t="str">
        <f>"avanddanesh"</f>
        <v>avanddanesh</v>
      </c>
    </row>
    <row r="986" spans="1:7" x14ac:dyDescent="0.25">
      <c r="A986" t="str">
        <f>"In Vivo Glucose Sensing"</f>
        <v>In Vivo Glucose Sensing</v>
      </c>
      <c r="B986" t="str">
        <f>"9780470112960"</f>
        <v>9780470112960</v>
      </c>
      <c r="C986">
        <v>56</v>
      </c>
      <c r="D986" t="str">
        <f>"USD"</f>
        <v>USD</v>
      </c>
      <c r="E986" t="str">
        <f>"2010"</f>
        <v>2010</v>
      </c>
      <c r="F986" t="str">
        <f>"Cunningham"</f>
        <v>Cunningham</v>
      </c>
      <c r="G986" t="str">
        <f>"avanddanesh"</f>
        <v>avanddanesh</v>
      </c>
    </row>
    <row r="987" spans="1:7" x14ac:dyDescent="0.25">
      <c r="A987" t="str">
        <f>"Indole Ring Synthesis: From Natural Products to Drug Discovery"</f>
        <v>Indole Ring Synthesis: From Natural Products to Drug Discovery</v>
      </c>
      <c r="B987" t="str">
        <f>"9780470512180"</f>
        <v>9780470512180</v>
      </c>
      <c r="C987">
        <v>161.5</v>
      </c>
      <c r="D987" t="str">
        <f>"USD"</f>
        <v>USD</v>
      </c>
      <c r="E987" t="str">
        <f>"2016"</f>
        <v>2016</v>
      </c>
      <c r="F987" t="str">
        <f>"Gribble"</f>
        <v>Gribble</v>
      </c>
      <c r="G987" t="str">
        <f>"avanddanesh"</f>
        <v>avanddanesh</v>
      </c>
    </row>
    <row r="988" spans="1:7" x14ac:dyDescent="0.25">
      <c r="A988" t="str">
        <f>"Industrial and Process Furnaces, Principles, Design and Operation, 2nd Edition"</f>
        <v>Industrial and Process Furnaces, Principles, Design and Operation, 2nd Edition</v>
      </c>
      <c r="B988" t="str">
        <f>"9780081013144"</f>
        <v>9780081013144</v>
      </c>
      <c r="C988">
        <v>134.1</v>
      </c>
      <c r="D988" t="str">
        <f>"USD"</f>
        <v>USD</v>
      </c>
      <c r="E988" t="str">
        <f>"2017"</f>
        <v>2017</v>
      </c>
      <c r="F988" t="str">
        <f>"Jenkins and Mullinge"</f>
        <v>Jenkins and Mullinge</v>
      </c>
      <c r="G988" t="str">
        <f>"dehkadehketab"</f>
        <v>dehkadehketab</v>
      </c>
    </row>
    <row r="989" spans="1:7" x14ac:dyDescent="0.25">
      <c r="A989" t="str">
        <f>"Industrial Applications of Natural Fibres:Structure, Properties and Technical Applications"</f>
        <v>Industrial Applications of Natural Fibres:Structure, Properties and Technical Applications</v>
      </c>
      <c r="B989" t="str">
        <f>"9780470695081"</f>
        <v>9780470695081</v>
      </c>
      <c r="C989">
        <v>162.75</v>
      </c>
      <c r="D989" t="str">
        <f>"USD"</f>
        <v>USD</v>
      </c>
      <c r="E989" t="str">
        <f>"2010"</f>
        <v>2010</v>
      </c>
      <c r="F989" t="str">
        <f>"MÃ¼ssig"</f>
        <v>MÃ¼ssig</v>
      </c>
      <c r="G989" t="str">
        <f>"safirketab"</f>
        <v>safirketab</v>
      </c>
    </row>
    <row r="990" spans="1:7" x14ac:dyDescent="0.25">
      <c r="A990" t="str">
        <f>"Industrial catalysis chemistry and Mechanism"</f>
        <v>Industrial catalysis chemistry and Mechanism</v>
      </c>
      <c r="B990" t="str">
        <f>"9781783268986"</f>
        <v>9781783268986</v>
      </c>
      <c r="C990">
        <v>31.45</v>
      </c>
      <c r="D990" t="str">
        <f>"GBP"</f>
        <v>GBP</v>
      </c>
      <c r="E990" t="str">
        <f>"2016"</f>
        <v>2016</v>
      </c>
      <c r="F990" t="str">
        <f>"Jame D Burrington"</f>
        <v>Jame D Burrington</v>
      </c>
      <c r="G990" t="str">
        <f>"AsarBartar"</f>
        <v>AsarBartar</v>
      </c>
    </row>
    <row r="991" spans="1:7" x14ac:dyDescent="0.25">
      <c r="A991" t="str">
        <f>"Industrial Catalysis: A Practical Approach,3e"</f>
        <v>Industrial Catalysis: A Practical Approach,3e</v>
      </c>
      <c r="B991" t="str">
        <f>"9783527331659"</f>
        <v>9783527331659</v>
      </c>
      <c r="C991">
        <v>164</v>
      </c>
      <c r="D991" t="str">
        <f>"USD"</f>
        <v>USD</v>
      </c>
      <c r="E991" t="str">
        <f>"2015"</f>
        <v>2015</v>
      </c>
      <c r="F991" t="str">
        <f>"Hagen"</f>
        <v>Hagen</v>
      </c>
      <c r="G991" t="str">
        <f>"avanddanesh"</f>
        <v>avanddanesh</v>
      </c>
    </row>
    <row r="992" spans="1:7" x14ac:dyDescent="0.25">
      <c r="A992" t="str">
        <f>"Industrial Chemical Thesaurus,V1"</f>
        <v>Industrial Chemical Thesaurus,V1</v>
      </c>
      <c r="B992" t="str">
        <f>"9780470144299"</f>
        <v>9780470144299</v>
      </c>
      <c r="C992">
        <v>138.80000000000001</v>
      </c>
      <c r="D992" t="str">
        <f>"USD"</f>
        <v>USD</v>
      </c>
      <c r="E992" t="str">
        <f>"2008"</f>
        <v>2008</v>
      </c>
      <c r="F992" t="str">
        <f>"Ash"</f>
        <v>Ash</v>
      </c>
      <c r="G992" t="str">
        <f>"safirketab"</f>
        <v>safirketab</v>
      </c>
    </row>
    <row r="993" spans="1:7" x14ac:dyDescent="0.25">
      <c r="A993" t="str">
        <f>"Industrial Chemistry (De Gruyter Textbook)"</f>
        <v>Industrial Chemistry (De Gruyter Textbook)</v>
      </c>
      <c r="B993" t="str">
        <f>"9783110351699"</f>
        <v>9783110351699</v>
      </c>
      <c r="C993">
        <v>59.5</v>
      </c>
      <c r="D993" t="str">
        <f>"EUR"</f>
        <v>EUR</v>
      </c>
      <c r="E993" t="str">
        <f>"2015"</f>
        <v>2015</v>
      </c>
      <c r="F993" t="str">
        <f>"Mark Anthony Benven"</f>
        <v>Mark Anthony Benven</v>
      </c>
      <c r="G993" t="str">
        <f>"AsarBartar"</f>
        <v>AsarBartar</v>
      </c>
    </row>
    <row r="994" spans="1:7" x14ac:dyDescent="0.25">
      <c r="A994" t="str">
        <f>"Industrial Chemistry, HB"</f>
        <v>Industrial Chemistry, HB</v>
      </c>
      <c r="B994" t="str">
        <f>"9789380199900"</f>
        <v>9789380199900</v>
      </c>
      <c r="C994">
        <v>16.100000000000001</v>
      </c>
      <c r="D994" t="str">
        <f>"USD"</f>
        <v>USD</v>
      </c>
      <c r="E994" t="str">
        <f>"2010"</f>
        <v>2010</v>
      </c>
      <c r="F994" t="str">
        <f>"Chouduri"</f>
        <v>Chouduri</v>
      </c>
      <c r="G994" t="str">
        <f>"supply"</f>
        <v>supply</v>
      </c>
    </row>
    <row r="995" spans="1:7" x14ac:dyDescent="0.25">
      <c r="A995" t="str">
        <f>"Industrial Microbiology, HB"</f>
        <v>Industrial Microbiology, HB</v>
      </c>
      <c r="B995" t="str">
        <f>"9788177541496"</f>
        <v>9788177541496</v>
      </c>
      <c r="C995">
        <v>28</v>
      </c>
      <c r="D995" t="str">
        <f>"USD"</f>
        <v>USD</v>
      </c>
      <c r="E995" t="str">
        <f>"2009"</f>
        <v>2009</v>
      </c>
      <c r="F995" t="str">
        <f>"Prescott"</f>
        <v>Prescott</v>
      </c>
      <c r="G995" t="str">
        <f>"supply"</f>
        <v>supply</v>
      </c>
    </row>
    <row r="996" spans="1:7" x14ac:dyDescent="0.25">
      <c r="A996" t="str">
        <f>"Industrial Moisture and Humidity Measurement: A Practical Guide"</f>
        <v>Industrial Moisture and Humidity Measurement: A Practical Guide</v>
      </c>
      <c r="B996" t="str">
        <f>"9783527331772"</f>
        <v>9783527331772</v>
      </c>
      <c r="C996">
        <v>151.5</v>
      </c>
      <c r="D996" t="str">
        <f>"USD"</f>
        <v>USD</v>
      </c>
      <c r="E996" t="str">
        <f>"2014"</f>
        <v>2014</v>
      </c>
      <c r="F996" t="str">
        <f>"Wernecke"</f>
        <v>Wernecke</v>
      </c>
      <c r="G996" t="str">
        <f>"avanddanesh"</f>
        <v>avanddanesh</v>
      </c>
    </row>
    <row r="997" spans="1:7" x14ac:dyDescent="0.25">
      <c r="A997" t="str">
        <f>"Industrial Organic Chemistry"</f>
        <v>Industrial Organic Chemistry</v>
      </c>
      <c r="B997" t="str">
        <f>"9783110494464"</f>
        <v>9783110494464</v>
      </c>
      <c r="C997">
        <v>62.95</v>
      </c>
      <c r="D997" t="str">
        <f>"EUR"</f>
        <v>EUR</v>
      </c>
      <c r="E997" t="str">
        <f>"2017"</f>
        <v>2017</v>
      </c>
      <c r="F997" t="str">
        <f>"Benvenuto, Mark Ant"</f>
        <v>Benvenuto, Mark Ant</v>
      </c>
      <c r="G997" t="str">
        <f>"AsarBartar"</f>
        <v>AsarBartar</v>
      </c>
    </row>
    <row r="998" spans="1:7" x14ac:dyDescent="0.25">
      <c r="A998" t="str">
        <f>"INDUSTRIAL PHOTOINITIATORS"</f>
        <v>INDUSTRIAL PHOTOINITIATORS</v>
      </c>
      <c r="B998" t="str">
        <f>"9781439827451"</f>
        <v>9781439827451</v>
      </c>
      <c r="C998">
        <v>17.39</v>
      </c>
      <c r="D998" t="str">
        <f>"GBP"</f>
        <v>GBP</v>
      </c>
      <c r="E998" t="str">
        <f>"2010"</f>
        <v>2010</v>
      </c>
      <c r="F998" t="str">
        <f>"GREEN, W. ARTHUR|"</f>
        <v>GREEN, W. ARTHUR|</v>
      </c>
      <c r="G998" t="str">
        <f>"AsarBartar"</f>
        <v>AsarBartar</v>
      </c>
    </row>
    <row r="999" spans="1:7" x14ac:dyDescent="0.25">
      <c r="A999" t="str">
        <f>"Industrial Polymer Applications: Essential Chemistry and Technology"</f>
        <v>Industrial Polymer Applications: Essential Chemistry and Technology</v>
      </c>
      <c r="B999" t="str">
        <f>"9781782628149"</f>
        <v>9781782628149</v>
      </c>
      <c r="C999">
        <v>23.4</v>
      </c>
      <c r="D999" t="str">
        <f>"GBP"</f>
        <v>GBP</v>
      </c>
      <c r="E999" t="str">
        <f>"2016"</f>
        <v>2016</v>
      </c>
      <c r="F999" t="str">
        <f>"William R. Ashcroft"</f>
        <v>William R. Ashcroft</v>
      </c>
      <c r="G999" t="str">
        <f>"arzinbooks"</f>
        <v>arzinbooks</v>
      </c>
    </row>
    <row r="1000" spans="1:7" x14ac:dyDescent="0.25">
      <c r="A1000" t="str">
        <f>"Information Processing Set 2V Set"</f>
        <v>Information Processing Set 2V Set</v>
      </c>
      <c r="B1000" t="str">
        <f>"9783527332458"</f>
        <v>9783527332458</v>
      </c>
      <c r="C1000">
        <v>184.8</v>
      </c>
      <c r="D1000" t="str">
        <f t="shared" ref="D1000:D1005" si="70">"USD"</f>
        <v>USD</v>
      </c>
      <c r="E1000" t="str">
        <f>"2012"</f>
        <v>2012</v>
      </c>
      <c r="F1000" t="str">
        <f>"Katz"</f>
        <v>Katz</v>
      </c>
      <c r="G1000" t="str">
        <f>"avanddanesh"</f>
        <v>avanddanesh</v>
      </c>
    </row>
    <row r="1001" spans="1:7" x14ac:dyDescent="0.25">
      <c r="A1001" t="str">
        <f>"Information Retrieval-SciFinder,2e"</f>
        <v>Information Retrieval-SciFinder,2e</v>
      </c>
      <c r="B1001" t="str">
        <f>"9780470712450"</f>
        <v>9780470712450</v>
      </c>
      <c r="C1001">
        <v>22</v>
      </c>
      <c r="D1001" t="str">
        <f t="shared" si="70"/>
        <v>USD</v>
      </c>
      <c r="E1001" t="str">
        <f>"2009"</f>
        <v>2009</v>
      </c>
      <c r="F1001" t="str">
        <f>"Ridley"</f>
        <v>Ridley</v>
      </c>
      <c r="G1001" t="str">
        <f>"avanddanesh"</f>
        <v>avanddanesh</v>
      </c>
    </row>
    <row r="1002" spans="1:7" x14ac:dyDescent="0.25">
      <c r="A1002" t="str">
        <f>"Infrared and Raman Spectroscopic Imaging"</f>
        <v>Infrared and Raman Spectroscopic Imaging</v>
      </c>
      <c r="B1002" t="str">
        <f>"9783527319930"</f>
        <v>9783527319930</v>
      </c>
      <c r="C1002">
        <v>163.79</v>
      </c>
      <c r="D1002" t="str">
        <f t="shared" si="70"/>
        <v>USD</v>
      </c>
      <c r="E1002" t="str">
        <f>"2009"</f>
        <v>2009</v>
      </c>
      <c r="F1002" t="str">
        <f>"Salzer"</f>
        <v>Salzer</v>
      </c>
      <c r="G1002" t="str">
        <f>"safirketab"</f>
        <v>safirketab</v>
      </c>
    </row>
    <row r="1003" spans="1:7" x14ac:dyDescent="0.25">
      <c r="A1003" t="str">
        <f>"Infrared and Raman Spectroscopic Imaging,2e"</f>
        <v>Infrared and Raman Spectroscopic Imaging,2e</v>
      </c>
      <c r="B1003" t="str">
        <f>"9783527336524"</f>
        <v>9783527336524</v>
      </c>
      <c r="C1003">
        <v>159</v>
      </c>
      <c r="D1003" t="str">
        <f t="shared" si="70"/>
        <v>USD</v>
      </c>
      <c r="E1003" t="str">
        <f>"2014"</f>
        <v>2014</v>
      </c>
      <c r="F1003" t="str">
        <f>"Salzer"</f>
        <v>Salzer</v>
      </c>
      <c r="G1003" t="str">
        <f>"avanddanesh"</f>
        <v>avanddanesh</v>
      </c>
    </row>
    <row r="1004" spans="1:7" x14ac:dyDescent="0.25">
      <c r="A1004" t="str">
        <f>"Infrared Spectroscopy of Molecules"</f>
        <v>Infrared Spectroscopy of Molecules</v>
      </c>
      <c r="B1004" t="str">
        <f>"9789382127833"</f>
        <v>9789382127833</v>
      </c>
      <c r="C1004">
        <v>17</v>
      </c>
      <c r="D1004" t="str">
        <f t="shared" si="70"/>
        <v>USD</v>
      </c>
      <c r="E1004" t="str">
        <f>"2016"</f>
        <v>2016</v>
      </c>
      <c r="F1004" t="str">
        <f>"Agarwala"</f>
        <v>Agarwala</v>
      </c>
      <c r="G1004" t="str">
        <f>"jahanadib"</f>
        <v>jahanadib</v>
      </c>
    </row>
    <row r="1005" spans="1:7" x14ac:dyDescent="0.25">
      <c r="A1005" t="str">
        <f>"Innovative Drug Synthesis"</f>
        <v>Innovative Drug Synthesis</v>
      </c>
      <c r="B1005" t="str">
        <f>"9781118820056"</f>
        <v>9781118820056</v>
      </c>
      <c r="C1005">
        <v>106.3</v>
      </c>
      <c r="D1005" t="str">
        <f t="shared" si="70"/>
        <v>USD</v>
      </c>
      <c r="E1005" t="str">
        <f>"2016"</f>
        <v>2016</v>
      </c>
      <c r="F1005" t="str">
        <f>"Li"</f>
        <v>Li</v>
      </c>
      <c r="G1005" t="str">
        <f>"avanddanesh"</f>
        <v>avanddanesh</v>
      </c>
    </row>
    <row r="1006" spans="1:7" x14ac:dyDescent="0.25">
      <c r="A1006" t="str">
        <f>"Innovative Thermoelectric Materials: Polymer, Nanostructure and Composite Thermoelectrics"</f>
        <v>Innovative Thermoelectric Materials: Polymer, Nanostructure and Composite Thermoelectrics</v>
      </c>
      <c r="B1006" t="str">
        <f>"9781783266050"</f>
        <v>9781783266050</v>
      </c>
      <c r="C1006">
        <v>91.8</v>
      </c>
      <c r="D1006" t="str">
        <f>"GBP"</f>
        <v>GBP</v>
      </c>
      <c r="E1006" t="str">
        <f>"2016"</f>
        <v>2016</v>
      </c>
      <c r="F1006" t="str">
        <f>"Howard E Katz and T"</f>
        <v>Howard E Katz and T</v>
      </c>
      <c r="G1006" t="str">
        <f>"AsarBartar"</f>
        <v>AsarBartar</v>
      </c>
    </row>
    <row r="1007" spans="1:7" x14ac:dyDescent="0.25">
      <c r="A1007" t="str">
        <f>"Inorganic and Organometallic Transition Metal Complexes with Biological Molecules and Living Cells"</f>
        <v>Inorganic and Organometallic Transition Metal Complexes with Biological Molecules and Living Cells</v>
      </c>
      <c r="B1007" t="str">
        <f>"9780128037997"</f>
        <v>9780128037997</v>
      </c>
      <c r="C1007">
        <v>157.5</v>
      </c>
      <c r="D1007" t="str">
        <f t="shared" ref="D1007:D1013" si="71">"USD"</f>
        <v>USD</v>
      </c>
      <c r="E1007" t="str">
        <f>"2017"</f>
        <v>2017</v>
      </c>
      <c r="F1007" t="str">
        <f>"Lo"</f>
        <v>Lo</v>
      </c>
      <c r="G1007" t="str">
        <f>"dehkadehketab"</f>
        <v>dehkadehketab</v>
      </c>
    </row>
    <row r="1008" spans="1:7" x14ac:dyDescent="0.25">
      <c r="A1008" t="str">
        <f>"Inorganic Chemical Biology: Principles, Techniques and Applications"</f>
        <v>Inorganic Chemical Biology: Principles, Techniques and Applications</v>
      </c>
      <c r="B1008" t="str">
        <f>"9781118510025"</f>
        <v>9781118510025</v>
      </c>
      <c r="C1008">
        <v>108.8</v>
      </c>
      <c r="D1008" t="str">
        <f t="shared" si="71"/>
        <v>USD</v>
      </c>
      <c r="E1008" t="str">
        <f>"2014"</f>
        <v>2014</v>
      </c>
      <c r="F1008" t="str">
        <f>"Gasser"</f>
        <v>Gasser</v>
      </c>
      <c r="G1008" t="str">
        <f>"avanddanesh"</f>
        <v>avanddanesh</v>
      </c>
    </row>
    <row r="1009" spans="1:7" x14ac:dyDescent="0.25">
      <c r="A1009" t="str">
        <f>"Inorganic Chemistry"</f>
        <v>Inorganic Chemistry</v>
      </c>
      <c r="B1009" t="str">
        <f>"9781786302540"</f>
        <v>9781786302540</v>
      </c>
      <c r="C1009">
        <v>126</v>
      </c>
      <c r="D1009" t="str">
        <f t="shared" si="71"/>
        <v>USD</v>
      </c>
      <c r="E1009" t="str">
        <f>"2017"</f>
        <v>2017</v>
      </c>
      <c r="F1009" t="str">
        <f>"Valls"</f>
        <v>Valls</v>
      </c>
      <c r="G1009" t="str">
        <f>"avanddanesh"</f>
        <v>avanddanesh</v>
      </c>
    </row>
    <row r="1010" spans="1:7" x14ac:dyDescent="0.25">
      <c r="A1010" t="str">
        <f>"Inorganic Chemistry for Geochemistry and Environmental Sciences: Fundamentals and Applications"</f>
        <v>Inorganic Chemistry for Geochemistry and Environmental Sciences: Fundamentals and Applications</v>
      </c>
      <c r="B1010" t="str">
        <f>"9781118851371"</f>
        <v>9781118851371</v>
      </c>
      <c r="C1010">
        <v>72.3</v>
      </c>
      <c r="D1010" t="str">
        <f t="shared" si="71"/>
        <v>USD</v>
      </c>
      <c r="E1010" t="str">
        <f>"2016"</f>
        <v>2016</v>
      </c>
      <c r="F1010" t="str">
        <f>"Luther"</f>
        <v>Luther</v>
      </c>
      <c r="G1010" t="str">
        <f>"avanddanesh"</f>
        <v>avanddanesh</v>
      </c>
    </row>
    <row r="1011" spans="1:7" x14ac:dyDescent="0.25">
      <c r="A1011" t="str">
        <f>"Inorganic Chemistry in Focus III"</f>
        <v>Inorganic Chemistry in Focus III</v>
      </c>
      <c r="B1011" t="str">
        <f>"9783527315109"</f>
        <v>9783527315109</v>
      </c>
      <c r="C1011">
        <v>114</v>
      </c>
      <c r="D1011" t="str">
        <f t="shared" si="71"/>
        <v>USD</v>
      </c>
      <c r="E1011" t="str">
        <f>"2006"</f>
        <v>2006</v>
      </c>
      <c r="F1011" t="str">
        <f>"Meyer-Chemistry"</f>
        <v>Meyer-Chemistry</v>
      </c>
      <c r="G1011" t="str">
        <f>"safirketab"</f>
        <v>safirketab</v>
      </c>
    </row>
    <row r="1012" spans="1:7" x14ac:dyDescent="0.25">
      <c r="A1012" t="str">
        <f>"Inorganic Chemistry, 3/e"</f>
        <v>Inorganic Chemistry, 3/e</v>
      </c>
      <c r="B1012" t="str">
        <f>"9788131532218"</f>
        <v>9788131532218</v>
      </c>
      <c r="C1012">
        <v>15.3</v>
      </c>
      <c r="D1012" t="str">
        <f t="shared" si="71"/>
        <v>USD</v>
      </c>
      <c r="E1012" t="str">
        <f>"2016"</f>
        <v>2016</v>
      </c>
      <c r="F1012" t="str">
        <f>"Rodgers"</f>
        <v>Rodgers</v>
      </c>
      <c r="G1012" t="str">
        <f>"jahanadib"</f>
        <v>jahanadib</v>
      </c>
    </row>
    <row r="1013" spans="1:7" x14ac:dyDescent="0.25">
      <c r="A1013" t="str">
        <f>"Inorganic Chemistry, 3/e"</f>
        <v>Inorganic Chemistry, 3/e</v>
      </c>
      <c r="B1013" t="str">
        <f>"9788131532218"</f>
        <v>9788131532218</v>
      </c>
      <c r="C1013">
        <v>15.3</v>
      </c>
      <c r="D1013" t="str">
        <f t="shared" si="71"/>
        <v>USD</v>
      </c>
      <c r="E1013" t="str">
        <f>"2016"</f>
        <v>2016</v>
      </c>
      <c r="F1013" t="str">
        <f>"Rodgers"</f>
        <v>Rodgers</v>
      </c>
      <c r="G1013" t="str">
        <f>"safirketab"</f>
        <v>safirketab</v>
      </c>
    </row>
    <row r="1014" spans="1:7" x14ac:dyDescent="0.25">
      <c r="A1014" t="str">
        <f>"Inorganic Chemistry: A Laboratory Manual"</f>
        <v>Inorganic Chemistry: A Laboratory Manual</v>
      </c>
      <c r="B1014" t="str">
        <f>"9781783322251"</f>
        <v>9781783322251</v>
      </c>
      <c r="C1014">
        <v>13.97</v>
      </c>
      <c r="D1014" t="str">
        <f>"GBP"</f>
        <v>GBP</v>
      </c>
      <c r="E1014" t="str">
        <f>"2016"</f>
        <v>2016</v>
      </c>
      <c r="F1014" t="str">
        <f>"Nath"</f>
        <v>Nath</v>
      </c>
      <c r="G1014" t="str">
        <f>"jahanadib"</f>
        <v>jahanadib</v>
      </c>
    </row>
    <row r="1015" spans="1:7" x14ac:dyDescent="0.25">
      <c r="A1015" t="str">
        <f>"Inorganic Electronic Structure and Spectroscopy 2V Set"</f>
        <v>Inorganic Electronic Structure and Spectroscopy 2V Set</v>
      </c>
      <c r="B1015" t="str">
        <f>"9780470038284"</f>
        <v>9780470038284</v>
      </c>
      <c r="C1015">
        <v>126</v>
      </c>
      <c r="D1015" t="str">
        <f>"USD"</f>
        <v>USD</v>
      </c>
      <c r="E1015" t="str">
        <f>"2006"</f>
        <v>2006</v>
      </c>
      <c r="F1015" t="str">
        <f>"Solomon"</f>
        <v>Solomon</v>
      </c>
      <c r="G1015" t="str">
        <f>"safirketab"</f>
        <v>safirketab</v>
      </c>
    </row>
    <row r="1016" spans="1:7" x14ac:dyDescent="0.25">
      <c r="A1016" t="str">
        <f>"Inorganic Mass Spectrometry: Principles and Applications"</f>
        <v>Inorganic Mass Spectrometry: Principles and Applications</v>
      </c>
      <c r="B1016" t="str">
        <f>"9780470012000"</f>
        <v>9780470012000</v>
      </c>
      <c r="C1016">
        <v>126</v>
      </c>
      <c r="D1016" t="str">
        <f>"USD"</f>
        <v>USD</v>
      </c>
      <c r="E1016" t="str">
        <f>"2007"</f>
        <v>2007</v>
      </c>
      <c r="F1016" t="str">
        <f>"Becker"</f>
        <v>Becker</v>
      </c>
      <c r="G1016" t="str">
        <f>"safirketab"</f>
        <v>safirketab</v>
      </c>
    </row>
    <row r="1017" spans="1:7" x14ac:dyDescent="0.25">
      <c r="A1017" t="str">
        <f>"Inorganic Materials Series: Materials Characterisation, 3V set"</f>
        <v>Inorganic Materials Series: Materials Characterisation, 3V set</v>
      </c>
      <c r="B1017" t="str">
        <f>"9781118941027"</f>
        <v>9781118941027</v>
      </c>
      <c r="C1017">
        <v>183.8</v>
      </c>
      <c r="D1017" t="str">
        <f>"USD"</f>
        <v>USD</v>
      </c>
      <c r="E1017" t="str">
        <f>"2014"</f>
        <v>2014</v>
      </c>
      <c r="F1017" t="str">
        <f>"Bruce"</f>
        <v>Bruce</v>
      </c>
      <c r="G1017" t="str">
        <f>"avanddanesh"</f>
        <v>avanddanesh</v>
      </c>
    </row>
    <row r="1018" spans="1:7" x14ac:dyDescent="0.25">
      <c r="A1018" t="str">
        <f>"Inorganic Nanosheets and Nanosheet-Based Materials: Fundamentals and Applications of Two-Dimensional Systems"</f>
        <v>Inorganic Nanosheets and Nanosheet-Based Materials: Fundamentals and Applications of Two-Dimensional Systems</v>
      </c>
      <c r="B1018" t="str">
        <f>"9784431564942"</f>
        <v>9784431564942</v>
      </c>
      <c r="C1018">
        <v>161.99</v>
      </c>
      <c r="D1018" t="str">
        <f>"EUR"</f>
        <v>EUR</v>
      </c>
      <c r="E1018" t="str">
        <f>"2017"</f>
        <v>2017</v>
      </c>
      <c r="F1018" t="str">
        <f>"Nakato"</f>
        <v>Nakato</v>
      </c>
      <c r="G1018" t="str">
        <f>"negarestanabi"</f>
        <v>negarestanabi</v>
      </c>
    </row>
    <row r="1019" spans="1:7" x14ac:dyDescent="0.25">
      <c r="A1019" t="str">
        <f>"Inorganic Pigments"</f>
        <v>Inorganic Pigments</v>
      </c>
      <c r="B1019" t="str">
        <f>"9783110484502"</f>
        <v>9783110484502</v>
      </c>
      <c r="C1019">
        <v>62.95</v>
      </c>
      <c r="D1019" t="str">
        <f>"EUR"</f>
        <v>EUR</v>
      </c>
      <c r="E1019" t="str">
        <f>"2017"</f>
        <v>2017</v>
      </c>
      <c r="F1019" t="str">
        <f>"Pfaff, Gerhard"</f>
        <v>Pfaff, Gerhard</v>
      </c>
      <c r="G1019" t="str">
        <f>"AsarBartar"</f>
        <v>AsarBartar</v>
      </c>
    </row>
    <row r="1020" spans="1:7" x14ac:dyDescent="0.25">
      <c r="A1020" t="str">
        <f>"Inorganic Reaction Mechanisms, Volume70"</f>
        <v>Inorganic Reaction Mechanisms, Volume70</v>
      </c>
      <c r="B1020" t="str">
        <f>"9780128128244"</f>
        <v>9780128128244</v>
      </c>
      <c r="C1020">
        <v>246.6</v>
      </c>
      <c r="D1020" t="str">
        <f>"USD"</f>
        <v>USD</v>
      </c>
      <c r="E1020" t="str">
        <f>"2017"</f>
        <v>2017</v>
      </c>
      <c r="F1020" t="str">
        <f>"van Eldik and Hubbar"</f>
        <v>van Eldik and Hubbar</v>
      </c>
      <c r="G1020" t="str">
        <f>"dehkadehketab"</f>
        <v>dehkadehketab</v>
      </c>
    </row>
    <row r="1021" spans="1:7" x14ac:dyDescent="0.25">
      <c r="A1021" t="str">
        <f>"INORGANIC SUBSTANCES BIBLIOGRAPHY 2012"</f>
        <v>INORGANIC SUBSTANCES BIBLIOGRAPHY 2012</v>
      </c>
      <c r="B1021" t="str">
        <f>"9783110268447"</f>
        <v>9783110268447</v>
      </c>
      <c r="C1021">
        <v>185.4</v>
      </c>
      <c r="D1021" t="str">
        <f>"EUR"</f>
        <v>EUR</v>
      </c>
      <c r="E1021" t="str">
        <f>"2012"</f>
        <v>2012</v>
      </c>
      <c r="F1021" t="str">
        <f>"PIERRE VILLARS"</f>
        <v>PIERRE VILLARS</v>
      </c>
      <c r="G1021" t="str">
        <f>"AsarBartar"</f>
        <v>AsarBartar</v>
      </c>
    </row>
    <row r="1022" spans="1:7" x14ac:dyDescent="0.25">
      <c r="A1022" t="str">
        <f>"Inorganic Syntheses, V 36"</f>
        <v>Inorganic Syntheses, V 36</v>
      </c>
      <c r="B1022" t="str">
        <f>"9781118744871"</f>
        <v>9781118744871</v>
      </c>
      <c r="C1022">
        <v>108.7</v>
      </c>
      <c r="D1022" t="str">
        <f t="shared" ref="D1022:D1028" si="72">"USD"</f>
        <v>USD</v>
      </c>
      <c r="E1022" t="str">
        <f>"2014"</f>
        <v>2014</v>
      </c>
      <c r="F1022" t="str">
        <f>"Girolami"</f>
        <v>Girolami</v>
      </c>
      <c r="G1022" t="str">
        <f>"avanddanesh"</f>
        <v>avanddanesh</v>
      </c>
    </row>
    <row r="1023" spans="1:7" x14ac:dyDescent="0.25">
      <c r="A1023" t="str">
        <f>"In-situ Electron Microscopy: Applications in Physics, Chemistry and Materials Science"</f>
        <v>In-situ Electron Microscopy: Applications in Physics, Chemistry and Materials Science</v>
      </c>
      <c r="B1023" t="str">
        <f>"9783527319732"</f>
        <v>9783527319732</v>
      </c>
      <c r="C1023">
        <v>140.4</v>
      </c>
      <c r="D1023" t="str">
        <f t="shared" si="72"/>
        <v>USD</v>
      </c>
      <c r="E1023" t="str">
        <f>"2012"</f>
        <v>2012</v>
      </c>
      <c r="F1023" t="str">
        <f>"Dehm"</f>
        <v>Dehm</v>
      </c>
      <c r="G1023" t="str">
        <f>"avanddanesh"</f>
        <v>avanddanesh</v>
      </c>
    </row>
    <row r="1024" spans="1:7" x14ac:dyDescent="0.25">
      <c r="A1024" t="str">
        <f>"Integrated Membrane Systems and Processes"</f>
        <v>Integrated Membrane Systems and Processes</v>
      </c>
      <c r="B1024" t="str">
        <f>"9781118739082"</f>
        <v>9781118739082</v>
      </c>
      <c r="C1024">
        <v>119</v>
      </c>
      <c r="D1024" t="str">
        <f t="shared" si="72"/>
        <v>USD</v>
      </c>
      <c r="E1024" t="str">
        <f>"2016"</f>
        <v>2016</v>
      </c>
      <c r="F1024" t="str">
        <f>"Basile"</f>
        <v>Basile</v>
      </c>
      <c r="G1024" t="str">
        <f>"avanddanesh"</f>
        <v>avanddanesh</v>
      </c>
    </row>
    <row r="1025" spans="1:7" x14ac:dyDescent="0.25">
      <c r="A1025" t="str">
        <f>"Integration of Omics Approaches and Systems Biology for Clinical Applications"</f>
        <v>Integration of Omics Approaches and Systems Biology for Clinical Applications</v>
      </c>
      <c r="B1025" t="str">
        <f>"9781119181149"</f>
        <v>9781119181149</v>
      </c>
      <c r="C1025">
        <v>157.5</v>
      </c>
      <c r="D1025" t="str">
        <f t="shared" si="72"/>
        <v>USD</v>
      </c>
      <c r="E1025" t="str">
        <f>"2018"</f>
        <v>2018</v>
      </c>
      <c r="F1025" t="str">
        <f>"Vlahou"</f>
        <v>Vlahou</v>
      </c>
      <c r="G1025" t="str">
        <f>"avanddanesh"</f>
        <v>avanddanesh</v>
      </c>
    </row>
    <row r="1026" spans="1:7" x14ac:dyDescent="0.25">
      <c r="A1026" t="str">
        <f>"INTEGRATIVE MEDICAL BIOCHEMISTRY: EXAMINATION AND BOARD REVIEW"</f>
        <v>INTEGRATIVE MEDICAL BIOCHEMISTRY: EXAMINATION AND BOARD REVIEW</v>
      </c>
      <c r="B1026" t="str">
        <f>"9781259251504"</f>
        <v>9781259251504</v>
      </c>
      <c r="C1026">
        <v>36.119999999999997</v>
      </c>
      <c r="D1026" t="str">
        <f t="shared" si="72"/>
        <v>USD</v>
      </c>
      <c r="E1026" t="str">
        <f>"2014"</f>
        <v>2014</v>
      </c>
      <c r="F1026" t="str">
        <f>"King"</f>
        <v>King</v>
      </c>
      <c r="G1026" t="str">
        <f>"safirketab"</f>
        <v>safirketab</v>
      </c>
    </row>
    <row r="1027" spans="1:7" x14ac:dyDescent="0.25">
      <c r="A1027" t="str">
        <f>"Intermediate Organic Chemistry,3e"</f>
        <v>Intermediate Organic Chemistry,3e</v>
      </c>
      <c r="B1027" t="str">
        <f>"9781118308813"</f>
        <v>9781118308813</v>
      </c>
      <c r="C1027">
        <v>80</v>
      </c>
      <c r="D1027" t="str">
        <f t="shared" si="72"/>
        <v>USD</v>
      </c>
      <c r="E1027" t="str">
        <f>"2015"</f>
        <v>2015</v>
      </c>
      <c r="F1027" t="str">
        <f>"Fabirkiewicz"</f>
        <v>Fabirkiewicz</v>
      </c>
      <c r="G1027" t="str">
        <f>"avanddanesh"</f>
        <v>avanddanesh</v>
      </c>
    </row>
    <row r="1028" spans="1:7" x14ac:dyDescent="0.25">
      <c r="A1028" t="str">
        <f>"Intermolecular and Surface Forces, 3rd Edition"</f>
        <v>Intermolecular and Surface Forces, 3rd Edition</v>
      </c>
      <c r="B1028" t="str">
        <f>"9780128102930"</f>
        <v>9780128102930</v>
      </c>
      <c r="C1028">
        <v>98.95</v>
      </c>
      <c r="D1028" t="str">
        <f t="shared" si="72"/>
        <v>USD</v>
      </c>
      <c r="E1028" t="str">
        <f>"2017"</f>
        <v>2017</v>
      </c>
      <c r="F1028" t="str">
        <f>"Israelachvili"</f>
        <v>Israelachvili</v>
      </c>
      <c r="G1028" t="str">
        <f>"dehkadehketab"</f>
        <v>dehkadehketab</v>
      </c>
    </row>
    <row r="1029" spans="1:7" x14ac:dyDescent="0.25">
      <c r="A1029" t="str">
        <f>"Intermolecular Interactions in Crystals : Fundamentals of Crystal Engineering"</f>
        <v>Intermolecular Interactions in Crystals : Fundamentals of Crystal Engineering</v>
      </c>
      <c r="B1029" t="str">
        <f>"9781782621737"</f>
        <v>9781782621737</v>
      </c>
      <c r="C1029">
        <v>85</v>
      </c>
      <c r="D1029" t="str">
        <f>"GBP"</f>
        <v>GBP</v>
      </c>
      <c r="E1029" t="str">
        <f>"2018"</f>
        <v>2018</v>
      </c>
      <c r="F1029" t="str">
        <f>"Juan J Novoa"</f>
        <v>Juan J Novoa</v>
      </c>
      <c r="G1029" t="str">
        <f>"arzinbooks"</f>
        <v>arzinbooks</v>
      </c>
    </row>
    <row r="1030" spans="1:7" x14ac:dyDescent="0.25">
      <c r="A1030" t="str">
        <f>"Internal Photoemission Spectroscopy, Fundamentals and Recent Advances, 2nd Edition"</f>
        <v>Internal Photoemission Spectroscopy, Fundamentals and Recent Advances, 2nd Edition</v>
      </c>
      <c r="B1030" t="str">
        <f>"9780081015308"</f>
        <v>9780081015308</v>
      </c>
      <c r="C1030">
        <v>180</v>
      </c>
      <c r="D1030" t="str">
        <f>"USD"</f>
        <v>USD</v>
      </c>
      <c r="E1030" t="str">
        <f>"2017"</f>
        <v>2017</v>
      </c>
      <c r="F1030" t="str">
        <f>"Afanas'ev"</f>
        <v>Afanas'ev</v>
      </c>
      <c r="G1030" t="str">
        <f>"dehkadehketab"</f>
        <v>dehkadehketab</v>
      </c>
    </row>
    <row r="1031" spans="1:7" x14ac:dyDescent="0.25">
      <c r="A1031" t="str">
        <f>"Internal Reflection and ATR Spectroscopy"</f>
        <v>Internal Reflection and ATR Spectroscopy</v>
      </c>
      <c r="B1031" t="str">
        <f>"9780470278321"</f>
        <v>9780470278321</v>
      </c>
      <c r="C1031">
        <v>59.4</v>
      </c>
      <c r="D1031" t="str">
        <f>"USD"</f>
        <v>USD</v>
      </c>
      <c r="E1031" t="str">
        <f>"2012"</f>
        <v>2012</v>
      </c>
      <c r="F1031" t="str">
        <f>"Milosevic"</f>
        <v>Milosevic</v>
      </c>
      <c r="G1031" t="str">
        <f>"avanddanesh"</f>
        <v>avanddanesh</v>
      </c>
    </row>
    <row r="1032" spans="1:7" x14ac:dyDescent="0.25">
      <c r="A1032" t="str">
        <f>"INTERNATIONAL ASSESSMENT OF RESEARCH AND DEVELOPMENT IN CATALYSIS BY NANOSTRUCTURED MATERIALS"</f>
        <v>INTERNATIONAL ASSESSMENT OF RESEARCH AND DEVELOPMENT IN CATALYSIS BY NANOSTRUCTURED MATERIALS</v>
      </c>
      <c r="B1032" t="str">
        <f>"9781848166899"</f>
        <v>9781848166899</v>
      </c>
      <c r="C1032">
        <v>20.7</v>
      </c>
      <c r="D1032" t="str">
        <f>"GBP"</f>
        <v>GBP</v>
      </c>
      <c r="E1032" t="str">
        <f>"2011"</f>
        <v>2011</v>
      </c>
      <c r="F1032" t="str">
        <f>"DAVIS ROBERT"</f>
        <v>DAVIS ROBERT</v>
      </c>
      <c r="G1032" t="str">
        <f>"AsarBartar"</f>
        <v>AsarBartar</v>
      </c>
    </row>
    <row r="1033" spans="1:7" x14ac:dyDescent="0.25">
      <c r="A1033" t="str">
        <f>"International Tables for Crystallography ,2e, 8V Set Set updated June 2010"</f>
        <v>International Tables for Crystallography ,2e, 8V Set Set updated June 2010</v>
      </c>
      <c r="B1033" t="str">
        <f>"9780470661635"</f>
        <v>9780470661635</v>
      </c>
      <c r="C1033">
        <v>1687.5</v>
      </c>
      <c r="D1033" t="str">
        <f t="shared" ref="D1033:D1044" si="73">"USD"</f>
        <v>USD</v>
      </c>
      <c r="E1033" t="str">
        <f>"2010"</f>
        <v>2010</v>
      </c>
      <c r="F1033" t="str">
        <f>"Fuess"</f>
        <v>Fuess</v>
      </c>
      <c r="G1033" t="str">
        <f>"safirketab"</f>
        <v>safirketab</v>
      </c>
    </row>
    <row r="1034" spans="1:7" x14ac:dyDescent="0.25">
      <c r="A1034" t="str">
        <f>"International Tables for Crystallography, Vol. D, Physical Properties of Crystals"</f>
        <v>International Tables for Crystallography, Vol. D, Physical Properties of Crystals</v>
      </c>
      <c r="B1034" t="str">
        <f>"9780470689097"</f>
        <v>9780470689097</v>
      </c>
      <c r="C1034">
        <v>128</v>
      </c>
      <c r="D1034" t="str">
        <f t="shared" si="73"/>
        <v>USD</v>
      </c>
      <c r="E1034" t="str">
        <f>"2003"</f>
        <v>2003</v>
      </c>
      <c r="F1034" t="str">
        <f>"Authier"</f>
        <v>Authier</v>
      </c>
      <c r="G1034" t="str">
        <f>"avanddanesh"</f>
        <v>avanddanesh</v>
      </c>
    </row>
    <row r="1035" spans="1:7" x14ac:dyDescent="0.25">
      <c r="A1035" t="str">
        <f>"International Tables for Crystallography, Vol. F, Crystallography of Biological Macromolecules"</f>
        <v>International Tables for Crystallography, Vol. F, Crystallography of Biological Macromolecules</v>
      </c>
      <c r="B1035" t="str">
        <f>"9780792368571"</f>
        <v>9780792368571</v>
      </c>
      <c r="C1035">
        <v>170</v>
      </c>
      <c r="D1035" t="str">
        <f t="shared" si="73"/>
        <v>USD</v>
      </c>
      <c r="E1035" t="str">
        <f>"2001"</f>
        <v>2001</v>
      </c>
      <c r="F1035" t="str">
        <f>"Rossmann"</f>
        <v>Rossmann</v>
      </c>
      <c r="G1035" t="str">
        <f>"avanddanesh"</f>
        <v>avanddanesh</v>
      </c>
    </row>
    <row r="1036" spans="1:7" x14ac:dyDescent="0.25">
      <c r="A1036" t="str">
        <f>"International Tables for Crystallography, Volume E, Subperioidic Groups"</f>
        <v>International Tables for Crystallography, Volume E, Subperioidic Groups</v>
      </c>
      <c r="B1036" t="str">
        <f>"9780470686720"</f>
        <v>9780470686720</v>
      </c>
      <c r="C1036">
        <v>236.25</v>
      </c>
      <c r="D1036" t="str">
        <f t="shared" si="73"/>
        <v>USD</v>
      </c>
      <c r="E1036" t="str">
        <f>"2010"</f>
        <v>2010</v>
      </c>
      <c r="F1036" t="str">
        <f>"Kopsky"</f>
        <v>Kopsky</v>
      </c>
      <c r="G1036" t="str">
        <f>"safirketab"</f>
        <v>safirketab</v>
      </c>
    </row>
    <row r="1037" spans="1:7" x14ac:dyDescent="0.25">
      <c r="A1037" t="str">
        <f>"Interpretation of MS-MS Mass Spectra of Drugs and Pesticides"</f>
        <v>Interpretation of MS-MS Mass Spectra of Drugs and Pesticides</v>
      </c>
      <c r="B1037" t="str">
        <f>"9781118500187"</f>
        <v>9781118500187</v>
      </c>
      <c r="C1037">
        <v>121.5</v>
      </c>
      <c r="D1037" t="str">
        <f t="shared" si="73"/>
        <v>USD</v>
      </c>
      <c r="E1037" t="str">
        <f>"2017"</f>
        <v>2017</v>
      </c>
      <c r="F1037" t="str">
        <f>"Niessen"</f>
        <v>Niessen</v>
      </c>
      <c r="G1037" t="str">
        <f>"avanddanesh"</f>
        <v>avanddanesh</v>
      </c>
    </row>
    <row r="1038" spans="1:7" x14ac:dyDescent="0.25">
      <c r="A1038" t="str">
        <f>"Interpretation of Organic Spectra"</f>
        <v>Interpretation of Organic Spectra</v>
      </c>
      <c r="B1038" t="str">
        <f>"9780470825167"</f>
        <v>9780470825167</v>
      </c>
      <c r="C1038">
        <v>40</v>
      </c>
      <c r="D1038" t="str">
        <f t="shared" si="73"/>
        <v>USD</v>
      </c>
      <c r="E1038" t="str">
        <f>"2011"</f>
        <v>2011</v>
      </c>
      <c r="F1038" t="str">
        <f>"Ning"</f>
        <v>Ning</v>
      </c>
      <c r="G1038" t="str">
        <f>"avanddanesh"</f>
        <v>avanddanesh</v>
      </c>
    </row>
    <row r="1039" spans="1:7" x14ac:dyDescent="0.25">
      <c r="A1039" t="str">
        <f>"Interpreting Evidence: Evaluating Forensic Science in the Courtroom,2e"</f>
        <v>Interpreting Evidence: Evaluating Forensic Science in the Courtroom,2e</v>
      </c>
      <c r="B1039" t="str">
        <f>"9781118492482"</f>
        <v>9781118492482</v>
      </c>
      <c r="C1039">
        <v>38.299999999999997</v>
      </c>
      <c r="D1039" t="str">
        <f t="shared" si="73"/>
        <v>USD</v>
      </c>
      <c r="E1039" t="str">
        <f>"2016"</f>
        <v>2016</v>
      </c>
      <c r="F1039" t="str">
        <f>"Robertson"</f>
        <v>Robertson</v>
      </c>
      <c r="G1039" t="str">
        <f>"avanddanesh"</f>
        <v>avanddanesh</v>
      </c>
    </row>
    <row r="1040" spans="1:7" x14ac:dyDescent="0.25">
      <c r="A1040" t="str">
        <f>"Intracellular Calcium, 2V Set"</f>
        <v>Intracellular Calcium, 2V Set</v>
      </c>
      <c r="B1040" t="str">
        <f>"9780470695111"</f>
        <v>9780470695111</v>
      </c>
      <c r="C1040">
        <v>202.5</v>
      </c>
      <c r="D1040" t="str">
        <f t="shared" si="73"/>
        <v>USD</v>
      </c>
      <c r="E1040" t="str">
        <f>"2014"</f>
        <v>2014</v>
      </c>
      <c r="F1040" t="str">
        <f>"Campbell"</f>
        <v>Campbell</v>
      </c>
      <c r="G1040" t="str">
        <f>"avanddanesh"</f>
        <v>avanddanesh</v>
      </c>
    </row>
    <row r="1041" spans="1:7" x14ac:dyDescent="0.25">
      <c r="A1041" t="str">
        <f>"Intro. to Chemicals from Biomass"</f>
        <v>Intro. to Chemicals from Biomass</v>
      </c>
      <c r="B1041" t="str">
        <f>"9780470058053"</f>
        <v>9780470058053</v>
      </c>
      <c r="C1041">
        <v>57</v>
      </c>
      <c r="D1041" t="str">
        <f t="shared" si="73"/>
        <v>USD</v>
      </c>
      <c r="E1041" t="str">
        <f>"2008"</f>
        <v>2008</v>
      </c>
      <c r="F1041" t="str">
        <f>"Clark"</f>
        <v>Clark</v>
      </c>
      <c r="G1041" t="str">
        <f>"safirketab"</f>
        <v>safirketab</v>
      </c>
    </row>
    <row r="1042" spans="1:7" x14ac:dyDescent="0.25">
      <c r="A1042" t="str">
        <f>"Intro. to Industrial Polyethylene: Properties, Catalysts, and Processes"</f>
        <v>Intro. to Industrial Polyethylene: Properties, Catalysts, and Processes</v>
      </c>
      <c r="B1042" t="str">
        <f>"9780470625989"</f>
        <v>9780470625989</v>
      </c>
      <c r="C1042">
        <v>74.97</v>
      </c>
      <c r="D1042" t="str">
        <f t="shared" si="73"/>
        <v>USD</v>
      </c>
      <c r="E1042" t="str">
        <f>"2010"</f>
        <v>2010</v>
      </c>
      <c r="F1042" t="str">
        <f>"Malpass"</f>
        <v>Malpass</v>
      </c>
      <c r="G1042" t="str">
        <f>"safirketab"</f>
        <v>safirketab</v>
      </c>
    </row>
    <row r="1043" spans="1:7" x14ac:dyDescent="0.25">
      <c r="A1043" t="str">
        <f>"Intro. to Macromolecular Crystallography 2e"</f>
        <v>Intro. to Macromolecular Crystallography 2e</v>
      </c>
      <c r="B1043" t="str">
        <f>"9780470185902"</f>
        <v>9780470185902</v>
      </c>
      <c r="C1043">
        <v>95.21</v>
      </c>
      <c r="D1043" t="str">
        <f t="shared" si="73"/>
        <v>USD</v>
      </c>
      <c r="E1043" t="str">
        <f>"2009"</f>
        <v>2009</v>
      </c>
      <c r="F1043" t="str">
        <f>"McPherson"</f>
        <v>McPherson</v>
      </c>
      <c r="G1043" t="str">
        <f>"safirketab"</f>
        <v>safirketab</v>
      </c>
    </row>
    <row r="1044" spans="1:7" x14ac:dyDescent="0.25">
      <c r="A1044" t="str">
        <f>"Intro. to Proteomics: Principles and Applications"</f>
        <v>Intro. to Proteomics: Principles and Applications</v>
      </c>
      <c r="B1044" t="str">
        <f>"9780471754022"</f>
        <v>9780471754022</v>
      </c>
      <c r="C1044">
        <v>46.4</v>
      </c>
      <c r="D1044" t="str">
        <f t="shared" si="73"/>
        <v>USD</v>
      </c>
      <c r="E1044" t="str">
        <f>"2010"</f>
        <v>2010</v>
      </c>
      <c r="F1044" t="str">
        <f>"Mishra"</f>
        <v>Mishra</v>
      </c>
      <c r="G1044" t="str">
        <f>"safirketab"</f>
        <v>safirketab</v>
      </c>
    </row>
    <row r="1045" spans="1:7" x14ac:dyDescent="0.25">
      <c r="A1045" t="str">
        <f>"Introduction of Macromolecular Science/Polymeric Materials into the Foundational Course in Organic Chemistry (Acs Symposium Series)"</f>
        <v>Introduction of Macromolecular Science/Polymeric Materials into the Foundational Course in Organic Chemistry (Acs Symposium Series)</v>
      </c>
      <c r="B1045" t="str">
        <f>"9780841228788"</f>
        <v>9780841228788</v>
      </c>
      <c r="C1045">
        <v>58.2</v>
      </c>
      <c r="D1045" t="str">
        <f>"GBP"</f>
        <v>GBP</v>
      </c>
      <c r="E1045" t="str">
        <f>"2013"</f>
        <v>2013</v>
      </c>
      <c r="F1045" t="str">
        <f>"Bob A. Howell(Edito"</f>
        <v>Bob A. Howell(Edito</v>
      </c>
      <c r="G1045" t="str">
        <f>"AsarBartar"</f>
        <v>AsarBartar</v>
      </c>
    </row>
    <row r="1046" spans="1:7" x14ac:dyDescent="0.25">
      <c r="A1046" t="str">
        <f>"INTRODUCTION TO  ELECTRICAL INTERFACIAL PHENOMENA"</f>
        <v>INTRODUCTION TO  ELECTRICAL INTERFACIAL PHENOMENA</v>
      </c>
      <c r="B1046" t="str">
        <f>"9781420053692"</f>
        <v>9781420053692</v>
      </c>
      <c r="C1046">
        <v>24.29</v>
      </c>
      <c r="D1046" t="str">
        <f>"GBP"</f>
        <v>GBP</v>
      </c>
      <c r="E1046" t="str">
        <f>"2010"</f>
        <v>2010</v>
      </c>
      <c r="F1046" t="str">
        <f>"BIRDI, K. S.|"</f>
        <v>BIRDI, K. S.|</v>
      </c>
      <c r="G1046" t="str">
        <f>"AsarBartar"</f>
        <v>AsarBartar</v>
      </c>
    </row>
    <row r="1047" spans="1:7" x14ac:dyDescent="0.25">
      <c r="A1047" t="str">
        <f>"Introduction to Bioorganic Chemistry and Chemical Biology"</f>
        <v>Introduction to Bioorganic Chemistry and Chemical Biology</v>
      </c>
      <c r="B1047" t="str">
        <f>"9780815342144"</f>
        <v>9780815342144</v>
      </c>
      <c r="C1047">
        <v>33.6</v>
      </c>
      <c r="D1047" t="str">
        <f>"GBP"</f>
        <v>GBP</v>
      </c>
      <c r="E1047" t="str">
        <f>"2013"</f>
        <v>2013</v>
      </c>
      <c r="F1047" t="str">
        <f>"DAVID VAN VRANKEN"</f>
        <v>DAVID VAN VRANKEN</v>
      </c>
      <c r="G1047" t="str">
        <f>"AsarBartar"</f>
        <v>AsarBartar</v>
      </c>
    </row>
    <row r="1048" spans="1:7" x14ac:dyDescent="0.25">
      <c r="A1048" t="str">
        <f>"Introduction to Catalysis and Industrial Catalytic Processes"</f>
        <v>Introduction to Catalysis and Industrial Catalytic Processes</v>
      </c>
      <c r="B1048" t="str">
        <f>"9781118454602"</f>
        <v>9781118454602</v>
      </c>
      <c r="C1048">
        <v>106.3</v>
      </c>
      <c r="D1048" t="str">
        <f>"USD"</f>
        <v>USD</v>
      </c>
      <c r="E1048" t="str">
        <f>"2016"</f>
        <v>2016</v>
      </c>
      <c r="F1048" t="str">
        <f>"Farrauto"</f>
        <v>Farrauto</v>
      </c>
      <c r="G1048" t="str">
        <f>"avanddanesh"</f>
        <v>avanddanesh</v>
      </c>
    </row>
    <row r="1049" spans="1:7" x14ac:dyDescent="0.25">
      <c r="A1049" t="str">
        <f>"Introduction to Cell Mechanics and Mechanobiology"</f>
        <v>Introduction to Cell Mechanics and Mechanobiology</v>
      </c>
      <c r="B1049" t="str">
        <f>"9780815344254"</f>
        <v>9780815344254</v>
      </c>
      <c r="C1049">
        <v>31.8</v>
      </c>
      <c r="D1049" t="str">
        <f>"GBP"</f>
        <v>GBP</v>
      </c>
      <c r="E1049" t="str">
        <f>"2013"</f>
        <v>2013</v>
      </c>
      <c r="F1049" t="str">
        <f>"CHRISTOPHER R. JACO"</f>
        <v>CHRISTOPHER R. JACO</v>
      </c>
      <c r="G1049" t="str">
        <f>"AsarBartar"</f>
        <v>AsarBartar</v>
      </c>
    </row>
    <row r="1050" spans="1:7" x14ac:dyDescent="0.25">
      <c r="A1050" t="str">
        <f>"Introduction to Chemicals from Biomass,2e"</f>
        <v>Introduction to Chemicals from Biomass,2e</v>
      </c>
      <c r="B1050" t="str">
        <f>"9781118714485"</f>
        <v>9781118714485</v>
      </c>
      <c r="C1050">
        <v>68</v>
      </c>
      <c r="D1050" t="str">
        <f>"USD"</f>
        <v>USD</v>
      </c>
      <c r="E1050" t="str">
        <f>"2015"</f>
        <v>2015</v>
      </c>
      <c r="F1050" t="str">
        <f>"Clark"</f>
        <v>Clark</v>
      </c>
      <c r="G1050" t="str">
        <f>"avanddanesh"</f>
        <v>avanddanesh</v>
      </c>
    </row>
    <row r="1051" spans="1:7" x14ac:dyDescent="0.25">
      <c r="A1051" t="str">
        <f>"Introduction To Chemistry, HB"</f>
        <v>Introduction To Chemistry, HB</v>
      </c>
      <c r="B1051" t="str">
        <f>"9780981166025"</f>
        <v>9780981166025</v>
      </c>
      <c r="C1051">
        <v>91</v>
      </c>
      <c r="D1051" t="str">
        <f>"USD"</f>
        <v>USD</v>
      </c>
      <c r="E1051" t="str">
        <f>"2010"</f>
        <v>2010</v>
      </c>
      <c r="F1051" t="str">
        <f>"Mcpherson "</f>
        <v xml:space="preserve">Mcpherson </v>
      </c>
      <c r="G1051" t="str">
        <f>"supply"</f>
        <v>supply</v>
      </c>
    </row>
    <row r="1052" spans="1:7" x14ac:dyDescent="0.25">
      <c r="A1052" t="str">
        <f>"Introduction to Chemistry,ISV,13e"</f>
        <v>Introduction to Chemistry,ISV,13e</v>
      </c>
      <c r="B1052" t="str">
        <f>"9780470505915"</f>
        <v>9780470505915</v>
      </c>
      <c r="C1052">
        <v>21</v>
      </c>
      <c r="D1052" t="str">
        <f>"USD"</f>
        <v>USD</v>
      </c>
      <c r="E1052" t="str">
        <f>"2010"</f>
        <v>2010</v>
      </c>
      <c r="F1052" t="str">
        <f>"Hein"</f>
        <v>Hein</v>
      </c>
      <c r="G1052" t="str">
        <f>"avanddanesh"</f>
        <v>avanddanesh</v>
      </c>
    </row>
    <row r="1053" spans="1:7" x14ac:dyDescent="0.25">
      <c r="A1053" t="str">
        <f>"Introduction to Computational Chemistry,3e"</f>
        <v>Introduction to Computational Chemistry,3e</v>
      </c>
      <c r="B1053" t="str">
        <f>"9781118825990"</f>
        <v>9781118825990</v>
      </c>
      <c r="C1053">
        <v>76.5</v>
      </c>
      <c r="D1053" t="str">
        <f>"USD"</f>
        <v>USD</v>
      </c>
      <c r="E1053" t="str">
        <f>"2017"</f>
        <v>2017</v>
      </c>
      <c r="F1053" t="str">
        <f>"Jensen"</f>
        <v>Jensen</v>
      </c>
      <c r="G1053" t="str">
        <f>"avanddanesh"</f>
        <v>avanddanesh</v>
      </c>
    </row>
    <row r="1054" spans="1:7" x14ac:dyDescent="0.25">
      <c r="A1054" t="str">
        <f>"Introduction to Experimental Infrared Spectroscopy: Fundamentals and Practical Methods"</f>
        <v>Introduction to Experimental Infrared Spectroscopy: Fundamentals and Practical Methods</v>
      </c>
      <c r="B1054" t="str">
        <f>"9780470665671"</f>
        <v>9780470665671</v>
      </c>
      <c r="C1054">
        <v>45</v>
      </c>
      <c r="D1054" t="str">
        <f>"USD"</f>
        <v>USD</v>
      </c>
      <c r="E1054" t="str">
        <f>"2014"</f>
        <v>2014</v>
      </c>
      <c r="F1054" t="str">
        <f>"Tasumi"</f>
        <v>Tasumi</v>
      </c>
      <c r="G1054" t="str">
        <f>"avanddanesh"</f>
        <v>avanddanesh</v>
      </c>
    </row>
    <row r="1055" spans="1:7" x14ac:dyDescent="0.25">
      <c r="A1055" t="str">
        <f>"INTRODUCTION TO GENERAL, ORGANIC AND BIOCHEMISTRY, INTERNATIONAL EDITION"</f>
        <v>INTRODUCTION TO GENERAL, ORGANIC AND BIOCHEMISTRY, INTERNATIONAL EDITION</v>
      </c>
      <c r="B1055" t="str">
        <f>"9780495391210"</f>
        <v>9780495391210</v>
      </c>
      <c r="C1055">
        <v>17.09</v>
      </c>
      <c r="D1055" t="str">
        <f>"GBP"</f>
        <v>GBP</v>
      </c>
      <c r="E1055" t="str">
        <f>"2010"</f>
        <v>2010</v>
      </c>
      <c r="F1055" t="str">
        <f>"Bettelheim/Brown/Ca"</f>
        <v>Bettelheim/Brown/Ca</v>
      </c>
      <c r="G1055" t="str">
        <f>"AsarBartar"</f>
        <v>AsarBartar</v>
      </c>
    </row>
    <row r="1056" spans="1:7" x14ac:dyDescent="0.25">
      <c r="A1056" t="str">
        <f>"introduction to hetrogeneous catalysis -text Book"</f>
        <v>introduction to hetrogeneous catalysis -text Book</v>
      </c>
      <c r="B1056" t="str">
        <f>"9781786340818"</f>
        <v>9781786340818</v>
      </c>
      <c r="C1056">
        <v>34</v>
      </c>
      <c r="D1056" t="str">
        <f>"GBP"</f>
        <v>GBP</v>
      </c>
      <c r="E1056" t="str">
        <f>"2016"</f>
        <v>2016</v>
      </c>
      <c r="F1056" t="str">
        <f>"roel prins"</f>
        <v>roel prins</v>
      </c>
      <c r="G1056" t="str">
        <f>"AsarBartar"</f>
        <v>AsarBartar</v>
      </c>
    </row>
    <row r="1057" spans="1:7" x14ac:dyDescent="0.25">
      <c r="A1057" t="str">
        <f>"Introduction To Industrial Chemistry"</f>
        <v>Introduction To Industrial Chemistry</v>
      </c>
      <c r="B1057" t="str">
        <f>"9788126552955"</f>
        <v>9788126552955</v>
      </c>
      <c r="C1057">
        <v>21.25</v>
      </c>
      <c r="D1057" t="str">
        <f>"USD"</f>
        <v>USD</v>
      </c>
      <c r="E1057" t="str">
        <f>"2015"</f>
        <v>2015</v>
      </c>
      <c r="F1057" t="str">
        <f>"White"</f>
        <v>White</v>
      </c>
      <c r="G1057" t="str">
        <f>"jahanadib"</f>
        <v>jahanadib</v>
      </c>
    </row>
    <row r="1058" spans="1:7" x14ac:dyDescent="0.25">
      <c r="A1058" t="str">
        <f>"Introduction to Modern Thermodynamics"</f>
        <v>Introduction to Modern Thermodynamics</v>
      </c>
      <c r="B1058" t="str">
        <f>"9780470015995"</f>
        <v>9780470015995</v>
      </c>
      <c r="C1058">
        <v>21</v>
      </c>
      <c r="D1058" t="str">
        <f>"USD"</f>
        <v>USD</v>
      </c>
      <c r="E1058" t="str">
        <f>"2008"</f>
        <v>2008</v>
      </c>
      <c r="F1058" t="str">
        <f>"Kondepudi"</f>
        <v>Kondepudi</v>
      </c>
      <c r="G1058" t="str">
        <f>"avanddanesh"</f>
        <v>avanddanesh</v>
      </c>
    </row>
    <row r="1059" spans="1:7" x14ac:dyDescent="0.25">
      <c r="A1059" t="str">
        <f>"Introduction to Photocatalysis: From Basic Science to Applications"</f>
        <v>Introduction to Photocatalysis: From Basic Science to Applications</v>
      </c>
      <c r="B1059" t="str">
        <f>"9781782623205"</f>
        <v>9781782623205</v>
      </c>
      <c r="C1059">
        <v>50.1</v>
      </c>
      <c r="D1059" t="str">
        <f>"GBP"</f>
        <v>GBP</v>
      </c>
      <c r="E1059" t="str">
        <f>"2016"</f>
        <v>2016</v>
      </c>
      <c r="F1059" t="str">
        <f>"Yoshio Nosaka andÂ At"</f>
        <v>Yoshio Nosaka andÂ At</v>
      </c>
      <c r="G1059" t="str">
        <f>"arzinbooks"</f>
        <v>arzinbooks</v>
      </c>
    </row>
    <row r="1060" spans="1:7" x14ac:dyDescent="0.25">
      <c r="A1060" t="str">
        <f>"Introduction to Polymer Chemistry, Fourth Edition"</f>
        <v>Introduction to Polymer Chemistry, Fourth Edition</v>
      </c>
      <c r="B1060" t="str">
        <f>"9781498737616"</f>
        <v>9781498737616</v>
      </c>
      <c r="C1060">
        <v>45</v>
      </c>
      <c r="D1060" t="str">
        <f>"GBP"</f>
        <v>GBP</v>
      </c>
      <c r="E1060" t="str">
        <f>"2017"</f>
        <v>2017</v>
      </c>
      <c r="F1060" t="str">
        <f>"Charles E. Carraher"</f>
        <v>Charles E. Carraher</v>
      </c>
      <c r="G1060" t="str">
        <f>"AsarBartar"</f>
        <v>AsarBartar</v>
      </c>
    </row>
    <row r="1061" spans="1:7" x14ac:dyDescent="0.25">
      <c r="A1061" t="str">
        <f>"Introduction to Proteomics: Principles and Applications"</f>
        <v>Introduction to Proteomics: Principles and Applications</v>
      </c>
      <c r="B1061" t="str">
        <f>"9780471754022"</f>
        <v>9780471754022</v>
      </c>
      <c r="C1061">
        <v>46.4</v>
      </c>
      <c r="D1061" t="str">
        <f>"USD"</f>
        <v>USD</v>
      </c>
      <c r="E1061" t="str">
        <f>"2010"</f>
        <v>2010</v>
      </c>
      <c r="F1061" t="str">
        <f>"Mishra"</f>
        <v>Mishra</v>
      </c>
      <c r="G1061" t="str">
        <f>"avanddanesh"</f>
        <v>avanddanesh</v>
      </c>
    </row>
    <row r="1062" spans="1:7" x14ac:dyDescent="0.25">
      <c r="A1062" t="str">
        <f>"INTRODUCTION TO QUANTUM CHEMISTRY, HB"</f>
        <v>INTRODUCTION TO QUANTUM CHEMISTRY, HB</v>
      </c>
      <c r="B1062" t="str">
        <f>"9781926686974"</f>
        <v>9781926686974</v>
      </c>
      <c r="C1062">
        <v>93.1</v>
      </c>
      <c r="D1062" t="str">
        <f>"USD"</f>
        <v>USD</v>
      </c>
      <c r="E1062" t="str">
        <f>"2010"</f>
        <v>2010</v>
      </c>
      <c r="F1062" t="str">
        <f>"Gitmore "</f>
        <v xml:space="preserve">Gitmore </v>
      </c>
      <c r="G1062" t="str">
        <f>"supply"</f>
        <v>supply</v>
      </c>
    </row>
    <row r="1063" spans="1:7" x14ac:dyDescent="0.25">
      <c r="A1063" t="str">
        <f>"Introduction to Quantum Physics: A First Course for Physicists, Chemists, Materials Scientists, and Engineers"</f>
        <v>Introduction to Quantum Physics: A First Course for Physicists, Chemists, Materials Scientists, and Engineers</v>
      </c>
      <c r="B1063" t="str">
        <f>"9783527412471"</f>
        <v>9783527412471</v>
      </c>
      <c r="C1063">
        <v>108</v>
      </c>
      <c r="D1063" t="str">
        <f>"USD"</f>
        <v>USD</v>
      </c>
      <c r="E1063" t="str">
        <f>"2017"</f>
        <v>2017</v>
      </c>
      <c r="F1063" t="str">
        <f>"Trachanas"</f>
        <v>Trachanas</v>
      </c>
      <c r="G1063" t="str">
        <f>"avanddanesh"</f>
        <v>avanddanesh</v>
      </c>
    </row>
    <row r="1064" spans="1:7" x14ac:dyDescent="0.25">
      <c r="A1064" t="str">
        <f>"Introduction to Renewable Biomaterials: First Principles and Concepts"</f>
        <v>Introduction to Renewable Biomaterials: First Principles and Concepts</v>
      </c>
      <c r="B1064" t="str">
        <f>"9781119962298"</f>
        <v>9781119962298</v>
      </c>
      <c r="C1064">
        <v>81</v>
      </c>
      <c r="D1064" t="str">
        <f>"USD"</f>
        <v>USD</v>
      </c>
      <c r="E1064" t="str">
        <f>"2017"</f>
        <v>2017</v>
      </c>
      <c r="F1064" t="str">
        <f>"Ayoub"</f>
        <v>Ayoub</v>
      </c>
      <c r="G1064" t="str">
        <f>"avanddanesh"</f>
        <v>avanddanesh</v>
      </c>
    </row>
    <row r="1065" spans="1:7" x14ac:dyDescent="0.25">
      <c r="A1065" t="str">
        <f>"Introduction to Soil Chemistry: Analysis and Instrumentation,2e"</f>
        <v>Introduction to Soil Chemistry: Analysis and Instrumentation,2e</v>
      </c>
      <c r="B1065" t="str">
        <f>"9781118135143"</f>
        <v>9781118135143</v>
      </c>
      <c r="C1065">
        <v>96</v>
      </c>
      <c r="D1065" t="str">
        <f>"USD"</f>
        <v>USD</v>
      </c>
      <c r="E1065" t="str">
        <f>"2014"</f>
        <v>2014</v>
      </c>
      <c r="F1065" t="str">
        <f>"Conklin"</f>
        <v>Conklin</v>
      </c>
      <c r="G1065" t="str">
        <f>"avanddanesh"</f>
        <v>avanddanesh</v>
      </c>
    </row>
    <row r="1066" spans="1:7" x14ac:dyDescent="0.25">
      <c r="A1066" t="str">
        <f>"INTRODUCTION TO STATISTICAL PHYSICS"</f>
        <v>INTRODUCTION TO STATISTICAL PHYSICS</v>
      </c>
      <c r="B1066" t="str">
        <f>"9781420079029"</f>
        <v>9781420079029</v>
      </c>
      <c r="C1066">
        <v>11.99</v>
      </c>
      <c r="D1066" t="str">
        <f>"GBP"</f>
        <v>GBP</v>
      </c>
      <c r="E1066" t="str">
        <f>"2010"</f>
        <v>2010</v>
      </c>
      <c r="F1066" t="str">
        <f>"HUANG, KERSON|"</f>
        <v>HUANG, KERSON|</v>
      </c>
      <c r="G1066" t="str">
        <f>"AsarBartar"</f>
        <v>AsarBartar</v>
      </c>
    </row>
    <row r="1067" spans="1:7" x14ac:dyDescent="0.25">
      <c r="A1067" t="str">
        <f>"Introduction to the Physics of Electron Emission"</f>
        <v>Introduction to the Physics of Electron Emission</v>
      </c>
      <c r="B1067" t="str">
        <f>"9781119051893"</f>
        <v>9781119051893</v>
      </c>
      <c r="C1067">
        <v>126</v>
      </c>
      <c r="D1067" t="str">
        <f>"USD"</f>
        <v>USD</v>
      </c>
      <c r="E1067" t="str">
        <f>"2017"</f>
        <v>2017</v>
      </c>
      <c r="F1067" t="str">
        <f>"Jensen"</f>
        <v>Jensen</v>
      </c>
      <c r="G1067" t="str">
        <f>"avanddanesh"</f>
        <v>avanddanesh</v>
      </c>
    </row>
    <row r="1068" spans="1:7" x14ac:dyDescent="0.25">
      <c r="A1068" t="str">
        <f>"INTRODUCTION TO THERMOCHEMISTRY   "</f>
        <v xml:space="preserve">INTRODUCTION TO THERMOCHEMISTRY   </v>
      </c>
      <c r="B1068" t="str">
        <f>"9788178849553"</f>
        <v>9788178849553</v>
      </c>
      <c r="C1068">
        <v>17.5</v>
      </c>
      <c r="D1068" t="str">
        <f>"USD"</f>
        <v>USD</v>
      </c>
      <c r="E1068" t="str">
        <f>"2012"</f>
        <v>2012</v>
      </c>
      <c r="F1068" t="str">
        <f>"Chauhan, Y. K."</f>
        <v>Chauhan, Y. K.</v>
      </c>
      <c r="G1068" t="str">
        <f>"supply"</f>
        <v>supply</v>
      </c>
    </row>
    <row r="1069" spans="1:7" x14ac:dyDescent="0.25">
      <c r="A1069" t="str">
        <f>"Iodine Chemistry and Applications"</f>
        <v>Iodine Chemistry and Applications</v>
      </c>
      <c r="B1069" t="str">
        <f>"9781118466292"</f>
        <v>9781118466292</v>
      </c>
      <c r="C1069">
        <v>160.80000000000001</v>
      </c>
      <c r="D1069" t="str">
        <f>"USD"</f>
        <v>USD</v>
      </c>
      <c r="E1069" t="str">
        <f>"2015"</f>
        <v>2015</v>
      </c>
      <c r="F1069" t="str">
        <f>"Kaiho"</f>
        <v>Kaiho</v>
      </c>
      <c r="G1069" t="str">
        <f>"avanddanesh"</f>
        <v>avanddanesh</v>
      </c>
    </row>
    <row r="1070" spans="1:7" x14ac:dyDescent="0.25">
      <c r="A1070" t="str">
        <f>"Ion Channel Drug Discovery"</f>
        <v>Ion Channel Drug Discovery</v>
      </c>
      <c r="B1070" t="str">
        <f>"9781849731867"</f>
        <v>9781849731867</v>
      </c>
      <c r="C1070">
        <v>96.3</v>
      </c>
      <c r="D1070" t="str">
        <f>"GBP"</f>
        <v>GBP</v>
      </c>
      <c r="E1070" t="str">
        <f>"2014"</f>
        <v>2014</v>
      </c>
      <c r="F1070" t="str">
        <f>"Brian Cox(Editor)Â Ma"</f>
        <v>Brian Cox(Editor)Â Ma</v>
      </c>
      <c r="G1070" t="str">
        <f>"arzinbooks"</f>
        <v>arzinbooks</v>
      </c>
    </row>
    <row r="1071" spans="1:7" x14ac:dyDescent="0.25">
      <c r="A1071" t="str">
        <f>"Ion Exchange and Solvent Extraction, HB"</f>
        <v>Ion Exchange and Solvent Extraction, HB</v>
      </c>
      <c r="B1071" t="str">
        <f>"9780824754891"</f>
        <v>9780824754891</v>
      </c>
      <c r="C1071">
        <v>168.7</v>
      </c>
      <c r="D1071" t="str">
        <f>"USD"</f>
        <v>USD</v>
      </c>
      <c r="E1071" t="str">
        <f>"2004"</f>
        <v>2004</v>
      </c>
      <c r="F1071" t="str">
        <f>"Sengupta"</f>
        <v>Sengupta</v>
      </c>
      <c r="G1071" t="str">
        <f>"supply"</f>
        <v>supply</v>
      </c>
    </row>
    <row r="1072" spans="1:7" x14ac:dyDescent="0.25">
      <c r="A1072" t="str">
        <f>"Ion Mobility Spectrometry, Second Edition"</f>
        <v>Ion Mobility Spectrometry, Second Edition</v>
      </c>
      <c r="B1072" t="str">
        <f>"9780849322471"</f>
        <v>9780849322471</v>
      </c>
      <c r="C1072">
        <v>123.42</v>
      </c>
      <c r="D1072" t="str">
        <f>"USD"</f>
        <v>USD</v>
      </c>
      <c r="E1072" t="str">
        <f>"2005"</f>
        <v>2005</v>
      </c>
      <c r="F1072" t="str">
        <f>"Gary A. Eiceman and "</f>
        <v xml:space="preserve">Gary A. Eiceman and </v>
      </c>
      <c r="G1072" t="str">
        <f>"safirketab"</f>
        <v>safirketab</v>
      </c>
    </row>
    <row r="1073" spans="1:7" x14ac:dyDescent="0.25">
      <c r="A1073" t="str">
        <f>"Ionic and Electrochemical Equilibria"</f>
        <v>Ionic and Electrochemical Equilibria</v>
      </c>
      <c r="B1073" t="str">
        <f>"9781848218697"</f>
        <v>9781848218697</v>
      </c>
      <c r="C1073">
        <v>119</v>
      </c>
      <c r="D1073" t="str">
        <f>"USD"</f>
        <v>USD</v>
      </c>
      <c r="E1073" t="str">
        <f>"2016"</f>
        <v>2016</v>
      </c>
      <c r="F1073" t="str">
        <f>"Soustelle"</f>
        <v>Soustelle</v>
      </c>
      <c r="G1073" t="str">
        <f>"avanddanesh"</f>
        <v>avanddanesh</v>
      </c>
    </row>
    <row r="1074" spans="1:7" x14ac:dyDescent="0.25">
      <c r="A1074" t="str">
        <f>"Ionic and Organometallic-Catalyzed Organosilane Reductions"</f>
        <v>Ionic and Organometallic-Catalyzed Organosilane Reductions</v>
      </c>
      <c r="B1074" t="str">
        <f>"9780470547878"</f>
        <v>9780470547878</v>
      </c>
      <c r="C1074">
        <v>74.959999999999994</v>
      </c>
      <c r="D1074" t="str">
        <f>"USD"</f>
        <v>USD</v>
      </c>
      <c r="E1074" t="str">
        <f>"2010"</f>
        <v>2010</v>
      </c>
      <c r="F1074" t="str">
        <f>"Larson"</f>
        <v>Larson</v>
      </c>
      <c r="G1074" t="str">
        <f>"safirketab"</f>
        <v>safirketab</v>
      </c>
    </row>
    <row r="1075" spans="1:7" x14ac:dyDescent="0.25">
      <c r="A1075" t="str">
        <f>"IONIC CARRIERS IN ORGANIC ELECTRONIC MATERIALS AND DEVI"</f>
        <v>IONIC CARRIERS IN ORGANIC ELECTRONIC MATERIALS AND DEVI</v>
      </c>
      <c r="B1075" t="str">
        <f>"9781439806883"</f>
        <v>9781439806883</v>
      </c>
      <c r="C1075">
        <v>23.09</v>
      </c>
      <c r="D1075" t="str">
        <f>"GBP"</f>
        <v>GBP</v>
      </c>
      <c r="E1075" t="str">
        <f>"2011"</f>
        <v>2011</v>
      </c>
      <c r="F1075" t="str">
        <f>"SUE CARTER(EDITOR)"</f>
        <v>SUE CARTER(EDITOR)</v>
      </c>
      <c r="G1075" t="str">
        <f>"AsarBartar"</f>
        <v>AsarBartar</v>
      </c>
    </row>
    <row r="1076" spans="1:7" x14ac:dyDescent="0.25">
      <c r="A1076" t="str">
        <f>"Ionic Compounds: Applications of Chemistry to Mineralogy"</f>
        <v>Ionic Compounds: Applications of Chemistry to Mineralogy</v>
      </c>
      <c r="B1076" t="str">
        <f>"9780471740469"</f>
        <v>9780471740469</v>
      </c>
      <c r="C1076">
        <v>44.37</v>
      </c>
      <c r="D1076" t="str">
        <f t="shared" ref="D1076:D1086" si="74">"USD"</f>
        <v>USD</v>
      </c>
      <c r="E1076" t="str">
        <f>"2006"</f>
        <v>2006</v>
      </c>
      <c r="F1076" t="str">
        <f>"Yoder-Chemistry"</f>
        <v>Yoder-Chemistry</v>
      </c>
      <c r="G1076" t="str">
        <f>"safirketab"</f>
        <v>safirketab</v>
      </c>
    </row>
    <row r="1077" spans="1:7" x14ac:dyDescent="0.25">
      <c r="A1077" t="str">
        <f>"Ionic Interactions in Natural and Synthetic Macromolecules"</f>
        <v>Ionic Interactions in Natural and Synthetic Macromolecules</v>
      </c>
      <c r="B1077" t="str">
        <f>"9780470529270"</f>
        <v>9780470529270</v>
      </c>
      <c r="C1077">
        <v>120.6</v>
      </c>
      <c r="D1077" t="str">
        <f t="shared" si="74"/>
        <v>USD</v>
      </c>
      <c r="E1077" t="str">
        <f>"2012"</f>
        <v>2012</v>
      </c>
      <c r="F1077" t="str">
        <f>"Ciferri"</f>
        <v>Ciferri</v>
      </c>
      <c r="G1077" t="str">
        <f>"avanddanesh"</f>
        <v>avanddanesh</v>
      </c>
    </row>
    <row r="1078" spans="1:7" x14ac:dyDescent="0.25">
      <c r="A1078" t="str">
        <f>"Ionic Liquid-Based Surfactant Science: Formulation, Characterization, and Applications"</f>
        <v>Ionic Liquid-Based Surfactant Science: Formulation, Characterization, and Applications</v>
      </c>
      <c r="B1078" t="str">
        <f>"9781118834190"</f>
        <v>9781118834190</v>
      </c>
      <c r="C1078">
        <v>140</v>
      </c>
      <c r="D1078" t="str">
        <f t="shared" si="74"/>
        <v>USD</v>
      </c>
      <c r="E1078" t="str">
        <f>"2015"</f>
        <v>2015</v>
      </c>
      <c r="F1078" t="str">
        <f>"Paul"</f>
        <v>Paul</v>
      </c>
      <c r="G1078" t="str">
        <f>"avanddanesh"</f>
        <v>avanddanesh</v>
      </c>
    </row>
    <row r="1079" spans="1:7" x14ac:dyDescent="0.25">
      <c r="A1079" t="str">
        <f>"Ionic Liquids Completely UnCOILed: Critical Expert Overviews"</f>
        <v>Ionic Liquids Completely UnCOILed: Critical Expert Overviews</v>
      </c>
      <c r="B1079" t="str">
        <f>"9781118439067"</f>
        <v>9781118439067</v>
      </c>
      <c r="C1079">
        <v>127.5</v>
      </c>
      <c r="D1079" t="str">
        <f t="shared" si="74"/>
        <v>USD</v>
      </c>
      <c r="E1079" t="str">
        <f>"2016"</f>
        <v>2016</v>
      </c>
      <c r="F1079" t="str">
        <f>"Plechkova"</f>
        <v>Plechkova</v>
      </c>
      <c r="G1079" t="str">
        <f>"avanddanesh"</f>
        <v>avanddanesh</v>
      </c>
    </row>
    <row r="1080" spans="1:7" x14ac:dyDescent="0.25">
      <c r="A1080" t="str">
        <f>"Ionic Liquids Further UnCOILed: Critical Expert Overviews"</f>
        <v>Ionic Liquids Further UnCOILed: Critical Expert Overviews</v>
      </c>
      <c r="B1080" t="str">
        <f>"9781118438633"</f>
        <v>9781118438633</v>
      </c>
      <c r="C1080">
        <v>116.2</v>
      </c>
      <c r="D1080" t="str">
        <f t="shared" si="74"/>
        <v>USD</v>
      </c>
      <c r="E1080" t="str">
        <f>"2014"</f>
        <v>2014</v>
      </c>
      <c r="F1080" t="str">
        <f>"Plechkova"</f>
        <v>Plechkova</v>
      </c>
      <c r="G1080" t="str">
        <f>"avanddanesh"</f>
        <v>avanddanesh</v>
      </c>
    </row>
    <row r="1081" spans="1:7" x14ac:dyDescent="0.25">
      <c r="A1081" t="str">
        <f>"Ionic Liquids in Biotransformations and Organocatalysis: Solvents and Beyond"</f>
        <v>Ionic Liquids in Biotransformations and Organocatalysis: Solvents and Beyond</v>
      </c>
      <c r="B1081" t="str">
        <f>"9780470569047"</f>
        <v>9780470569047</v>
      </c>
      <c r="C1081">
        <v>99</v>
      </c>
      <c r="D1081" t="str">
        <f t="shared" si="74"/>
        <v>USD</v>
      </c>
      <c r="E1081" t="str">
        <f>"2012"</f>
        <v>2012</v>
      </c>
      <c r="F1081" t="str">
        <f>"Dom?nguez de Mar?a"</f>
        <v>Dom?nguez de Mar?a</v>
      </c>
      <c r="G1081" t="str">
        <f>"avanddanesh"</f>
        <v>avanddanesh</v>
      </c>
    </row>
    <row r="1082" spans="1:7" x14ac:dyDescent="0.25">
      <c r="A1082" t="str">
        <f>"Ionic Liquids in Separation Technology"</f>
        <v>Ionic Liquids in Separation Technology</v>
      </c>
      <c r="B1082" t="str">
        <f>"9780444638182"</f>
        <v>9780444638182</v>
      </c>
      <c r="C1082">
        <v>180</v>
      </c>
      <c r="D1082" t="str">
        <f t="shared" si="74"/>
        <v>USD</v>
      </c>
      <c r="E1082" t="str">
        <f>"2017"</f>
        <v>2017</v>
      </c>
      <c r="F1082" t="str">
        <f>"Perez De Los Rios an"</f>
        <v>Perez De Los Rios an</v>
      </c>
      <c r="G1082" t="str">
        <f>"dehkadehketab"</f>
        <v>dehkadehketab</v>
      </c>
    </row>
    <row r="1083" spans="1:7" x14ac:dyDescent="0.25">
      <c r="A1083" t="str">
        <f>"Ions in Solution and their Solvation"</f>
        <v>Ions in Solution and their Solvation</v>
      </c>
      <c r="B1083" t="str">
        <f>"9781118889145"</f>
        <v>9781118889145</v>
      </c>
      <c r="C1083">
        <v>108</v>
      </c>
      <c r="D1083" t="str">
        <f t="shared" si="74"/>
        <v>USD</v>
      </c>
      <c r="E1083" t="str">
        <f>"2015"</f>
        <v>2015</v>
      </c>
      <c r="F1083" t="str">
        <f>"Marcus"</f>
        <v>Marcus</v>
      </c>
      <c r="G1083" t="str">
        <f>"avanddanesh"</f>
        <v>avanddanesh</v>
      </c>
    </row>
    <row r="1084" spans="1:7" x14ac:dyDescent="0.25">
      <c r="A1084" t="str">
        <f>"Iridium Complexes in Organic Synthesis"</f>
        <v>Iridium Complexes in Organic Synthesis</v>
      </c>
      <c r="B1084" t="str">
        <f>"9783527319961"</f>
        <v>9783527319961</v>
      </c>
      <c r="C1084">
        <v>135</v>
      </c>
      <c r="D1084" t="str">
        <f t="shared" si="74"/>
        <v>USD</v>
      </c>
      <c r="E1084" t="str">
        <f>"2008"</f>
        <v>2008</v>
      </c>
      <c r="F1084" t="str">
        <f>"Oro"</f>
        <v>Oro</v>
      </c>
      <c r="G1084" t="str">
        <f>"safirketab"</f>
        <v>safirketab</v>
      </c>
    </row>
    <row r="1085" spans="1:7" x14ac:dyDescent="0.25">
      <c r="A1085" t="str">
        <f>"Iron Metabolism: From Molecular Mechanisms to Clinical Consequences,3e"</f>
        <v>Iron Metabolism: From Molecular Mechanisms to Clinical Consequences,3e</v>
      </c>
      <c r="B1085" t="str">
        <f>"9780470010280"</f>
        <v>9780470010280</v>
      </c>
      <c r="C1085">
        <v>93.6</v>
      </c>
      <c r="D1085" t="str">
        <f t="shared" si="74"/>
        <v>USD</v>
      </c>
      <c r="E1085" t="str">
        <f>"2009"</f>
        <v>2009</v>
      </c>
      <c r="F1085" t="str">
        <f>"Crichton"</f>
        <v>Crichton</v>
      </c>
      <c r="G1085" t="str">
        <f>"avanddanesh"</f>
        <v>avanddanesh</v>
      </c>
    </row>
    <row r="1086" spans="1:7" x14ac:dyDescent="0.25">
      <c r="A1086" t="str">
        <f>"Iron Metabolism: From Molecular Mechanisms to Clinical Consequences,4e"</f>
        <v>Iron Metabolism: From Molecular Mechanisms to Clinical Consequences,4e</v>
      </c>
      <c r="B1086" t="str">
        <f>"9781118925614"</f>
        <v>9781118925614</v>
      </c>
      <c r="C1086">
        <v>144.5</v>
      </c>
      <c r="D1086" t="str">
        <f t="shared" si="74"/>
        <v>USD</v>
      </c>
      <c r="E1086" t="str">
        <f>"2016"</f>
        <v>2016</v>
      </c>
      <c r="F1086" t="str">
        <f>"Crichton"</f>
        <v>Crichton</v>
      </c>
      <c r="G1086" t="str">
        <f>"avanddanesh"</f>
        <v>avanddanesh</v>
      </c>
    </row>
    <row r="1087" spans="1:7" x14ac:dyDescent="0.25">
      <c r="A1087" t="str">
        <f>"Iron-Sulfur Clusters in Chemistry and Biology"</f>
        <v>Iron-Sulfur Clusters in Chemistry and Biology</v>
      </c>
      <c r="B1087" t="str">
        <f>"9783110308327"</f>
        <v>9783110308327</v>
      </c>
      <c r="C1087">
        <v>112</v>
      </c>
      <c r="D1087" t="str">
        <f>"EUR"</f>
        <v>EUR</v>
      </c>
      <c r="E1087" t="str">
        <f>"2014"</f>
        <v>2014</v>
      </c>
      <c r="F1087" t="str">
        <f>"Tracey A. Rouault(E"</f>
        <v>Tracey A. Rouault(E</v>
      </c>
      <c r="G1087" t="str">
        <f>"AsarBartar"</f>
        <v>AsarBartar</v>
      </c>
    </row>
    <row r="1088" spans="1:7" x14ac:dyDescent="0.25">
      <c r="A1088" t="str">
        <f>"Isoconversional Kinetics of Thermally Stimulated Processes"</f>
        <v>Isoconversional Kinetics of Thermally Stimulated Processes</v>
      </c>
      <c r="B1088" t="str">
        <f>"9783319141749"</f>
        <v>9783319141749</v>
      </c>
      <c r="C1088">
        <v>107.99</v>
      </c>
      <c r="D1088" t="str">
        <f>"EUR"</f>
        <v>EUR</v>
      </c>
      <c r="E1088" t="str">
        <f>"2015"</f>
        <v>2015</v>
      </c>
      <c r="F1088" t="str">
        <f>"Vyazovkin"</f>
        <v>Vyazovkin</v>
      </c>
      <c r="G1088" t="str">
        <f>"negarestanabi"</f>
        <v>negarestanabi</v>
      </c>
    </row>
    <row r="1089" spans="1:7" x14ac:dyDescent="0.25">
      <c r="A1089" t="str">
        <f>"Isocyanide Chemistry"</f>
        <v>Isocyanide Chemistry</v>
      </c>
      <c r="B1089" t="str">
        <f>"9783527330430"</f>
        <v>9783527330430</v>
      </c>
      <c r="C1089">
        <v>124.2</v>
      </c>
      <c r="D1089" t="str">
        <f>"USD"</f>
        <v>USD</v>
      </c>
      <c r="E1089" t="str">
        <f>"2012"</f>
        <v>2012</v>
      </c>
      <c r="F1089" t="str">
        <f>"Nenajdenko"</f>
        <v>Nenajdenko</v>
      </c>
      <c r="G1089" t="str">
        <f>"avanddanesh"</f>
        <v>avanddanesh</v>
      </c>
    </row>
    <row r="1090" spans="1:7" x14ac:dyDescent="0.25">
      <c r="A1090" t="str">
        <f>"Isotopes In Heterogeneous Catalysis"</f>
        <v>Isotopes In Heterogeneous Catalysis</v>
      </c>
      <c r="B1090" t="str">
        <f>"9781860945847"</f>
        <v>9781860945847</v>
      </c>
      <c r="C1090">
        <v>32</v>
      </c>
      <c r="D1090" t="str">
        <f>"GBP"</f>
        <v>GBP</v>
      </c>
      <c r="E1090" t="str">
        <f>"2006"</f>
        <v>2006</v>
      </c>
      <c r="F1090" t="str">
        <f>"Hargreaves Just"</f>
        <v>Hargreaves Just</v>
      </c>
      <c r="G1090" t="str">
        <f>"kowkab"</f>
        <v>kowkab</v>
      </c>
    </row>
    <row r="1091" spans="1:7" x14ac:dyDescent="0.25">
      <c r="A1091" t="str">
        <f>"Isotopic Geochemistry and Paleobiology"</f>
        <v>Isotopic Geochemistry and Paleobiology</v>
      </c>
      <c r="B1091" t="str">
        <f>"9781785481154"</f>
        <v>9781785481154</v>
      </c>
      <c r="C1091">
        <v>90</v>
      </c>
      <c r="D1091" t="str">
        <f>"USD"</f>
        <v>USD</v>
      </c>
      <c r="E1091" t="str">
        <f>"2018"</f>
        <v>2018</v>
      </c>
      <c r="F1091" t="str">
        <f>"Amiot et al"</f>
        <v>Amiot et al</v>
      </c>
      <c r="G1091" t="str">
        <f>"dehkadehketab"</f>
        <v>dehkadehketab</v>
      </c>
    </row>
    <row r="1092" spans="1:7" x14ac:dyDescent="0.25">
      <c r="A1092" t="str">
        <f>"Key Elements in Polymers for Engineers and Chemists: From Data to Applications"</f>
        <v>Key Elements in Polymers for Engineers and Chemists: From Data to Applications</v>
      </c>
      <c r="B1092" t="str">
        <f>"9781926895802"</f>
        <v>9781926895802</v>
      </c>
      <c r="C1092">
        <v>81.599999999999994</v>
      </c>
      <c r="D1092" t="str">
        <f>"GBP"</f>
        <v>GBP</v>
      </c>
      <c r="E1092" t="str">
        <f>"2014"</f>
        <v>2014</v>
      </c>
      <c r="F1092" t="str">
        <f>"Simon S. Zlotsky(Ed"</f>
        <v>Simon S. Zlotsky(Ed</v>
      </c>
      <c r="G1092" t="str">
        <f>"AsarBartar"</f>
        <v>AsarBartar</v>
      </c>
    </row>
    <row r="1093" spans="1:7" x14ac:dyDescent="0.25">
      <c r="A1093" t="str">
        <f>"Keynotes in Organic Chemistry,2e"</f>
        <v>Keynotes in Organic Chemistry,2e</v>
      </c>
      <c r="B1093" t="str">
        <f>"9781119999140"</f>
        <v>9781119999140</v>
      </c>
      <c r="C1093">
        <v>22.7</v>
      </c>
      <c r="D1093" t="str">
        <f>"USD"</f>
        <v>USD</v>
      </c>
      <c r="E1093" t="str">
        <f>"2013"</f>
        <v>2013</v>
      </c>
      <c r="F1093" t="str">
        <f>"Parsons"</f>
        <v>Parsons</v>
      </c>
      <c r="G1093" t="str">
        <f>"avanddanesh"</f>
        <v>avanddanesh</v>
      </c>
    </row>
    <row r="1094" spans="1:7" x14ac:dyDescent="0.25">
      <c r="A1094" t="str">
        <f>"Kinetics of Enzyme Action: Essential Principles for Drug Hunters"</f>
        <v>Kinetics of Enzyme Action: Essential Principles for Drug Hunters</v>
      </c>
      <c r="B1094" t="str">
        <f>"9780470414118"</f>
        <v>9780470414118</v>
      </c>
      <c r="C1094">
        <v>41.2</v>
      </c>
      <c r="D1094" t="str">
        <f>"USD"</f>
        <v>USD</v>
      </c>
      <c r="E1094" t="str">
        <f>"2011"</f>
        <v>2011</v>
      </c>
      <c r="F1094" t="str">
        <f>"Stein"</f>
        <v>Stein</v>
      </c>
      <c r="G1094" t="str">
        <f>"avanddanesh"</f>
        <v>avanddanesh</v>
      </c>
    </row>
    <row r="1095" spans="1:7" x14ac:dyDescent="0.25">
      <c r="A1095" t="str">
        <f>"KININS"</f>
        <v>KININS</v>
      </c>
      <c r="B1095" t="str">
        <f>"9783110252347"</f>
        <v>9783110252347</v>
      </c>
      <c r="C1095">
        <v>72</v>
      </c>
      <c r="D1095" t="str">
        <f>"EUR"</f>
        <v>EUR</v>
      </c>
      <c r="E1095" t="str">
        <f>"2012"</f>
        <v>2012</v>
      </c>
      <c r="F1095" t="str">
        <f>"BADER"</f>
        <v>BADER</v>
      </c>
      <c r="G1095" t="str">
        <f>"AsarBartar"</f>
        <v>AsarBartar</v>
      </c>
    </row>
    <row r="1096" spans="1:7" x14ac:dyDescent="0.25">
      <c r="A1096" t="str">
        <f>"Kinomics: Approaches and Applications"</f>
        <v>Kinomics: Approaches and Applications</v>
      </c>
      <c r="B1096" t="str">
        <f>"9783527337651"</f>
        <v>9783527337651</v>
      </c>
      <c r="C1096">
        <v>152</v>
      </c>
      <c r="D1096" t="str">
        <f>"USD"</f>
        <v>USD</v>
      </c>
      <c r="E1096" t="str">
        <f>"2015"</f>
        <v>2015</v>
      </c>
      <c r="F1096" t="str">
        <f>"Kraatz"</f>
        <v>Kraatz</v>
      </c>
      <c r="G1096" t="str">
        <f>"avanddanesh"</f>
        <v>avanddanesh</v>
      </c>
    </row>
    <row r="1097" spans="1:7" x14ac:dyDescent="0.25">
      <c r="A1097" t="str">
        <f>"Laboratory Astrochemistry: From Molecules through Nanoparticles to Grains"</f>
        <v>Laboratory Astrochemistry: From Molecules through Nanoparticles to Grains</v>
      </c>
      <c r="B1097" t="str">
        <f>"9783527408894"</f>
        <v>9783527408894</v>
      </c>
      <c r="C1097">
        <v>144.80000000000001</v>
      </c>
      <c r="D1097" t="str">
        <f>"USD"</f>
        <v>USD</v>
      </c>
      <c r="E1097" t="str">
        <f>"2015"</f>
        <v>2015</v>
      </c>
      <c r="F1097" t="str">
        <f>"Schlemmer"</f>
        <v>Schlemmer</v>
      </c>
      <c r="G1097" t="str">
        <f>"avanddanesh"</f>
        <v>avanddanesh</v>
      </c>
    </row>
    <row r="1098" spans="1:7" x14ac:dyDescent="0.25">
      <c r="A1098" t="str">
        <f>"Laboratory Methods in Microfluidics"</f>
        <v>Laboratory Methods in Microfluidics</v>
      </c>
      <c r="B1098" t="str">
        <f>"9780128132272"</f>
        <v>9780128132272</v>
      </c>
      <c r="C1098">
        <v>89.95</v>
      </c>
      <c r="D1098" t="str">
        <f>"USD"</f>
        <v>USD</v>
      </c>
      <c r="E1098" t="str">
        <f>"2017"</f>
        <v>2017</v>
      </c>
      <c r="F1098" t="str">
        <f>"Giri"</f>
        <v>Giri</v>
      </c>
      <c r="G1098" t="str">
        <f>"dehkadehketab"</f>
        <v>dehkadehketab</v>
      </c>
    </row>
    <row r="1099" spans="1:7" x14ac:dyDescent="0.25">
      <c r="A1099" t="str">
        <f>"LABORATORY SCIENTIFIC GLASSBLOWING: A PRACTICAL TRAINING METHOD"</f>
        <v>LABORATORY SCIENTIFIC GLASSBLOWING: A PRACTICAL TRAINING METHOD</v>
      </c>
      <c r="B1099" t="str">
        <f>"9781786342423"</f>
        <v>9781786342423</v>
      </c>
      <c r="C1099">
        <v>43.2</v>
      </c>
      <c r="D1099" t="str">
        <f>"GBP"</f>
        <v>GBP</v>
      </c>
      <c r="E1099" t="str">
        <f>"2017"</f>
        <v>2017</v>
      </c>
      <c r="F1099" t="str">
        <f>"LE PINNET PAUL"</f>
        <v>LE PINNET PAUL</v>
      </c>
      <c r="G1099" t="str">
        <f>"AsarBartar"</f>
        <v>AsarBartar</v>
      </c>
    </row>
    <row r="1100" spans="1:7" x14ac:dyDescent="0.25">
      <c r="A1100" t="str">
        <f>"Lanthanides and Actinides in Molecular Magnetism"</f>
        <v>Lanthanides and Actinides in Molecular Magnetism</v>
      </c>
      <c r="B1100" t="str">
        <f>"9783527335268"</f>
        <v>9783527335268</v>
      </c>
      <c r="C1100">
        <v>156.80000000000001</v>
      </c>
      <c r="D1100" t="str">
        <f>"USD"</f>
        <v>USD</v>
      </c>
      <c r="E1100" t="str">
        <f>"2015"</f>
        <v>2015</v>
      </c>
      <c r="F1100" t="str">
        <f>"Layfield"</f>
        <v>Layfield</v>
      </c>
      <c r="G1100" t="str">
        <f>"avanddanesh"</f>
        <v>avanddanesh</v>
      </c>
    </row>
    <row r="1101" spans="1:7" x14ac:dyDescent="0.25">
      <c r="A1101" t="str">
        <f>"LARGE HADRON COLLIDER,THE"</f>
        <v>LARGE HADRON COLLIDER,THE</v>
      </c>
      <c r="B1101" t="str">
        <f>"9781439804018"</f>
        <v>9781439804018</v>
      </c>
      <c r="C1101">
        <v>14.69</v>
      </c>
      <c r="D1101" t="str">
        <f>"GBP"</f>
        <v>GBP</v>
      </c>
      <c r="E1101" t="str">
        <f>"2009"</f>
        <v>2009</v>
      </c>
      <c r="F1101" t="str">
        <f>"LYNDON EVANS"</f>
        <v>LYNDON EVANS</v>
      </c>
      <c r="G1101" t="str">
        <f>"AsarBartar"</f>
        <v>AsarBartar</v>
      </c>
    </row>
    <row r="1102" spans="1:7" x14ac:dyDescent="0.25">
      <c r="A1102" t="str">
        <f>"LC-NMR and Other Hyphenated NMR Techniques: Overview and Applications"</f>
        <v>LC-NMR and Other Hyphenated NMR Techniques: Overview and Applications</v>
      </c>
      <c r="B1102" t="str">
        <f>"9780470548349"</f>
        <v>9780470548349</v>
      </c>
      <c r="C1102">
        <v>52.2</v>
      </c>
      <c r="D1102" t="str">
        <f>"USD"</f>
        <v>USD</v>
      </c>
      <c r="E1102" t="str">
        <f>"2012"</f>
        <v>2012</v>
      </c>
      <c r="F1102" t="str">
        <f>"Silva Elipe"</f>
        <v>Silva Elipe</v>
      </c>
      <c r="G1102" t="str">
        <f>"avanddanesh"</f>
        <v>avanddanesh</v>
      </c>
    </row>
    <row r="1103" spans="1:7" x14ac:dyDescent="0.25">
      <c r="A1103" t="str">
        <f>"Lead Generation: Methods and Strategies 2V Set"</f>
        <v>Lead Generation: Methods and Strategies 2V Set</v>
      </c>
      <c r="B1103" t="str">
        <f>"9783527333295"</f>
        <v>9783527333295</v>
      </c>
      <c r="C1103">
        <v>323</v>
      </c>
      <c r="D1103" t="str">
        <f>"USD"</f>
        <v>USD</v>
      </c>
      <c r="E1103" t="str">
        <f>"2016"</f>
        <v>2016</v>
      </c>
      <c r="F1103" t="str">
        <f>"Holenz"</f>
        <v>Holenz</v>
      </c>
      <c r="G1103" t="str">
        <f>"avanddanesh"</f>
        <v>avanddanesh</v>
      </c>
    </row>
    <row r="1104" spans="1:7" x14ac:dyDescent="0.25">
      <c r="A1104" t="str">
        <f>"LEAN FOR THE PROCESS INDUSTRIES: DEALING WITH COMPLEXITY"</f>
        <v>LEAN FOR THE PROCESS INDUSTRIES: DEALING WITH COMPLEXITY</v>
      </c>
      <c r="B1104" t="str">
        <f>"9781420078510"</f>
        <v>9781420078510</v>
      </c>
      <c r="C1104">
        <v>9.2899999999999991</v>
      </c>
      <c r="D1104" t="str">
        <f>"GBP"</f>
        <v>GBP</v>
      </c>
      <c r="E1104" t="str">
        <f>"2009"</f>
        <v>2009</v>
      </c>
      <c r="F1104" t="str">
        <f>"PETER L. KING(EDITO"</f>
        <v>PETER L. KING(EDITO</v>
      </c>
      <c r="G1104" t="str">
        <f>"AsarBartar"</f>
        <v>AsarBartar</v>
      </c>
    </row>
    <row r="1105" spans="1:7" x14ac:dyDescent="0.25">
      <c r="A1105" t="str">
        <f>"LECTURE NOTES ON IMPEDANCE SPECTROSCOPY:MEASUREMENT, MODELING AND APPLICATIONS, VOLUME 3"</f>
        <v>LECTURE NOTES ON IMPEDANCE SPECTROSCOPY:MEASUREMENT, MODELING AND APPLICATIONS, VOLUME 3</v>
      </c>
      <c r="B1105" t="str">
        <f>"9780415644303"</f>
        <v>9780415644303</v>
      </c>
      <c r="C1105">
        <v>33.6</v>
      </c>
      <c r="D1105" t="str">
        <f>"GBP"</f>
        <v>GBP</v>
      </c>
      <c r="E1105" t="str">
        <f>"2012"</f>
        <v>2012</v>
      </c>
      <c r="F1105" t="str">
        <f>"KANOUN"</f>
        <v>KANOUN</v>
      </c>
      <c r="G1105" t="str">
        <f>"AsarBartar"</f>
        <v>AsarBartar</v>
      </c>
    </row>
    <row r="1106" spans="1:7" x14ac:dyDescent="0.25">
      <c r="A1106" t="str">
        <f>"Lehninger Principles of Biochemistry 2017"</f>
        <v>Lehninger Principles of Biochemistry 2017</v>
      </c>
      <c r="B1106" t="str">
        <f>"9781319108243"</f>
        <v>9781319108243</v>
      </c>
      <c r="C1106">
        <v>67.2</v>
      </c>
      <c r="D1106" t="str">
        <f>"EUR"</f>
        <v>EUR</v>
      </c>
      <c r="E1106" t="str">
        <f>"2017"</f>
        <v>2017</v>
      </c>
      <c r="F1106" t="str">
        <f>"MICHAEL M. COX"</f>
        <v>MICHAEL M. COX</v>
      </c>
      <c r="G1106" t="str">
        <f>"arzinbooks"</f>
        <v>arzinbooks</v>
      </c>
    </row>
    <row r="1107" spans="1:7" x14ac:dyDescent="0.25">
      <c r="A1107" t="str">
        <f>"Lewis Base Catalysis in Organic Synthesis, 3V Set"</f>
        <v>Lewis Base Catalysis in Organic Synthesis, 3V Set</v>
      </c>
      <c r="B1107" t="str">
        <f>"9783527336180"</f>
        <v>9783527336180</v>
      </c>
      <c r="C1107">
        <v>514.29999999999995</v>
      </c>
      <c r="D1107" t="str">
        <f t="shared" ref="D1107:D1116" si="75">"USD"</f>
        <v>USD</v>
      </c>
      <c r="E1107" t="str">
        <f>"2016"</f>
        <v>2016</v>
      </c>
      <c r="F1107" t="str">
        <f>"Vedejs"</f>
        <v>Vedejs</v>
      </c>
      <c r="G1107" t="str">
        <f>"avanddanesh"</f>
        <v>avanddanesh</v>
      </c>
    </row>
    <row r="1108" spans="1:7" x14ac:dyDescent="0.25">
      <c r="A1108" t="str">
        <f>"Life-Cycle Assessment of Biorefineries"</f>
        <v>Life-Cycle Assessment of Biorefineries</v>
      </c>
      <c r="B1108" t="str">
        <f>"9780444635082"</f>
        <v>9780444635082</v>
      </c>
      <c r="C1108">
        <v>171</v>
      </c>
      <c r="D1108" t="str">
        <f t="shared" si="75"/>
        <v>USD</v>
      </c>
      <c r="E1108" t="str">
        <f>"2017"</f>
        <v>2017</v>
      </c>
      <c r="F1108" t="str">
        <f>"Pandey, Ashok"</f>
        <v>Pandey, Ashok</v>
      </c>
      <c r="G1108" t="str">
        <f>"dehkadehketab"</f>
        <v>dehkadehketab</v>
      </c>
    </row>
    <row r="1109" spans="1:7" x14ac:dyDescent="0.25">
      <c r="A1109" t="str">
        <f>"Ligand Design for G Protein-coupled Receptors"</f>
        <v>Ligand Design for G Protein-coupled Receptors</v>
      </c>
      <c r="B1109" t="str">
        <f>"9783527312849"</f>
        <v>9783527312849</v>
      </c>
      <c r="C1109">
        <v>98</v>
      </c>
      <c r="D1109" t="str">
        <f t="shared" si="75"/>
        <v>USD</v>
      </c>
      <c r="E1109" t="str">
        <f>"2006"</f>
        <v>2006</v>
      </c>
      <c r="F1109" t="str">
        <f>"Pharmaceutical &amp; Med"</f>
        <v>Pharmaceutical &amp; Med</v>
      </c>
      <c r="G1109" t="str">
        <f>"safirketab"</f>
        <v>safirketab</v>
      </c>
    </row>
    <row r="1110" spans="1:7" x14ac:dyDescent="0.25">
      <c r="A1110" t="str">
        <f>"Ligand Design in Medicinal Inorganic Chemistry"</f>
        <v>Ligand Design in Medicinal Inorganic Chemistry</v>
      </c>
      <c r="B1110" t="str">
        <f>"9781118488522"</f>
        <v>9781118488522</v>
      </c>
      <c r="C1110">
        <v>112.5</v>
      </c>
      <c r="D1110" t="str">
        <f t="shared" si="75"/>
        <v>USD</v>
      </c>
      <c r="E1110" t="str">
        <f>"2014"</f>
        <v>2014</v>
      </c>
      <c r="F1110" t="str">
        <f>"Storr"</f>
        <v>Storr</v>
      </c>
      <c r="G1110" t="str">
        <f>"avanddanesh"</f>
        <v>avanddanesh</v>
      </c>
    </row>
    <row r="1111" spans="1:7" x14ac:dyDescent="0.25">
      <c r="A1111" t="str">
        <f>"Ligand Design in Metal Chemistry: Reactivity and Catalysis"</f>
        <v>Ligand Design in Metal Chemistry: Reactivity and Catalysis</v>
      </c>
      <c r="B1111" t="str">
        <f>"9781118839836"</f>
        <v>9781118839836</v>
      </c>
      <c r="C1111">
        <v>123.3</v>
      </c>
      <c r="D1111" t="str">
        <f t="shared" si="75"/>
        <v>USD</v>
      </c>
      <c r="E1111" t="str">
        <f>"2016"</f>
        <v>2016</v>
      </c>
      <c r="F1111" t="str">
        <f>"Stradiotto"</f>
        <v>Stradiotto</v>
      </c>
      <c r="G1111" t="str">
        <f>"avanddanesh"</f>
        <v>avanddanesh</v>
      </c>
    </row>
    <row r="1112" spans="1:7" x14ac:dyDescent="0.25">
      <c r="A1112" t="str">
        <f>"Ligand Platforms in Homogenous Catalytic Reactions with Metals: Practice and Applications for Green Organic Transformations"</f>
        <v>Ligand Platforms in Homogenous Catalytic Reactions with Metals: Practice and Applications for Green Organic Transformations</v>
      </c>
      <c r="B1112" t="str">
        <f>"9781118203514"</f>
        <v>9781118203514</v>
      </c>
      <c r="C1112">
        <v>124</v>
      </c>
      <c r="D1112" t="str">
        <f t="shared" si="75"/>
        <v>USD</v>
      </c>
      <c r="E1112" t="str">
        <f>"2015"</f>
        <v>2015</v>
      </c>
      <c r="F1112" t="str">
        <f>"Yamaguchi"</f>
        <v>Yamaguchi</v>
      </c>
      <c r="G1112" t="str">
        <f>"avanddanesh"</f>
        <v>avanddanesh</v>
      </c>
    </row>
    <row r="1113" spans="1:7" x14ac:dyDescent="0.25">
      <c r="A1113" t="str">
        <f>"Lignin and Lignans as Renewable Raw Materials: Chemistry, Technology and Applications"</f>
        <v>Lignin and Lignans as Renewable Raw Materials: Chemistry, Technology and Applications</v>
      </c>
      <c r="B1113" t="str">
        <f>"9781118597866"</f>
        <v>9781118597866</v>
      </c>
      <c r="C1113">
        <v>120</v>
      </c>
      <c r="D1113" t="str">
        <f t="shared" si="75"/>
        <v>USD</v>
      </c>
      <c r="E1113" t="str">
        <f>"2015"</f>
        <v>2015</v>
      </c>
      <c r="F1113" t="str">
        <f>"Calvo-Flores"</f>
        <v>Calvo-Flores</v>
      </c>
      <c r="G1113" t="str">
        <f>"avanddanesh"</f>
        <v>avanddanesh</v>
      </c>
    </row>
    <row r="1114" spans="1:7" x14ac:dyDescent="0.25">
      <c r="A1114" t="str">
        <f>"Lignocellulosics, Renewable Feedstock for (Tailored) Functional Materials and Nanotechnology"</f>
        <v>Lignocellulosics, Renewable Feedstock for (Tailored) Functional Materials and Nanotechnology</v>
      </c>
      <c r="B1114" t="str">
        <f>"9780128040775"</f>
        <v>9780128040775</v>
      </c>
      <c r="C1114">
        <v>180</v>
      </c>
      <c r="D1114" t="str">
        <f t="shared" si="75"/>
        <v>USD</v>
      </c>
      <c r="E1114" t="str">
        <f>"2017"</f>
        <v>2017</v>
      </c>
      <c r="F1114" t="str">
        <f>"Filpponen et al"</f>
        <v>Filpponen et al</v>
      </c>
      <c r="G1114" t="str">
        <f>"dehkadehketab"</f>
        <v>dehkadehketab</v>
      </c>
    </row>
    <row r="1115" spans="1:7" x14ac:dyDescent="0.25">
      <c r="A1115" t="str">
        <f>"Limits of Detection in Chemical Analysis"</f>
        <v>Limits of Detection in Chemical Analysis</v>
      </c>
      <c r="B1115" t="str">
        <f>"9781119188971"</f>
        <v>9781119188971</v>
      </c>
      <c r="C1115">
        <v>135</v>
      </c>
      <c r="D1115" t="str">
        <f t="shared" si="75"/>
        <v>USD</v>
      </c>
      <c r="E1115" t="str">
        <f>"2017"</f>
        <v>2017</v>
      </c>
      <c r="F1115" t="str">
        <f>"Voigtman"</f>
        <v>Voigtman</v>
      </c>
      <c r="G1115" t="str">
        <f>"avanddanesh"</f>
        <v>avanddanesh</v>
      </c>
    </row>
    <row r="1116" spans="1:7" x14ac:dyDescent="0.25">
      <c r="A1116" t="str">
        <f>"Linear Feedback Controls, The Essentials"</f>
        <v>Linear Feedback Controls, The Essentials</v>
      </c>
      <c r="B1116" t="str">
        <f>"9780128102510"</f>
        <v>9780128102510</v>
      </c>
      <c r="C1116">
        <v>71.95</v>
      </c>
      <c r="D1116" t="str">
        <f t="shared" si="75"/>
        <v>USD</v>
      </c>
      <c r="E1116" t="str">
        <f>"2017"</f>
        <v>2017</v>
      </c>
      <c r="F1116" t="str">
        <f>"Haidekker"</f>
        <v>Haidekker</v>
      </c>
      <c r="G1116" t="str">
        <f>"dehkadehketab"</f>
        <v>dehkadehketab</v>
      </c>
    </row>
    <row r="1117" spans="1:7" x14ac:dyDescent="0.25">
      <c r="A1117" t="str">
        <f>"Linear-Scaling Techniques in Computational Chemistry and Physics: Methods and Applications"</f>
        <v>Linear-Scaling Techniques in Computational Chemistry and Physics: Methods and Applications</v>
      </c>
      <c r="B1117" t="str">
        <f>"9789048128525"</f>
        <v>9789048128525</v>
      </c>
      <c r="C1117">
        <v>251.99</v>
      </c>
      <c r="D1117" t="str">
        <f>"EUR"</f>
        <v>EUR</v>
      </c>
      <c r="E1117" t="str">
        <f>"2011"</f>
        <v>2011</v>
      </c>
      <c r="F1117" t="str">
        <f>"ZaleÅ›ny"</f>
        <v>ZaleÅ›ny</v>
      </c>
      <c r="G1117" t="str">
        <f>"negarestanabi"</f>
        <v>negarestanabi</v>
      </c>
    </row>
    <row r="1118" spans="1:7" x14ac:dyDescent="0.25">
      <c r="A1118" t="str">
        <f>"Lipidomics"</f>
        <v>Lipidomics</v>
      </c>
      <c r="B1118" t="str">
        <f>"9783527330980"</f>
        <v>9783527330980</v>
      </c>
      <c r="C1118">
        <v>81</v>
      </c>
      <c r="D1118" t="str">
        <f t="shared" ref="D1118:D1132" si="76">"USD"</f>
        <v>USD</v>
      </c>
      <c r="E1118" t="str">
        <f>"2012"</f>
        <v>2012</v>
      </c>
      <c r="F1118" t="str">
        <f>"Ekroos"</f>
        <v>Ekroos</v>
      </c>
      <c r="G1118" t="str">
        <f>"avanddanesh"</f>
        <v>avanddanesh</v>
      </c>
    </row>
    <row r="1119" spans="1:7" x14ac:dyDescent="0.25">
      <c r="A1119" t="str">
        <f>"Lipidomics: Comprehensive Mass Spectrometry of Lipids"</f>
        <v>Lipidomics: Comprehensive Mass Spectrometry of Lipids</v>
      </c>
      <c r="B1119" t="str">
        <f>"9781118893128"</f>
        <v>9781118893128</v>
      </c>
      <c r="C1119">
        <v>127.5</v>
      </c>
      <c r="D1119" t="str">
        <f t="shared" si="76"/>
        <v>USD</v>
      </c>
      <c r="E1119" t="str">
        <f>"2016"</f>
        <v>2016</v>
      </c>
      <c r="F1119" t="str">
        <f>"Han"</f>
        <v>Han</v>
      </c>
      <c r="G1119" t="str">
        <f>"avanddanesh"</f>
        <v>avanddanesh</v>
      </c>
    </row>
    <row r="1120" spans="1:7" x14ac:dyDescent="0.25">
      <c r="A1120" t="str">
        <f>"Lipids and Cellular Membranes in Amyloid Diseases"</f>
        <v>Lipids and Cellular Membranes in Amyloid Diseases</v>
      </c>
      <c r="B1120" t="str">
        <f>"9783527328604"</f>
        <v>9783527328604</v>
      </c>
      <c r="C1120">
        <v>78.8</v>
      </c>
      <c r="D1120" t="str">
        <f t="shared" si="76"/>
        <v>USD</v>
      </c>
      <c r="E1120" t="str">
        <f>"2011"</f>
        <v>2011</v>
      </c>
      <c r="F1120" t="str">
        <f>"Jelinek"</f>
        <v>Jelinek</v>
      </c>
      <c r="G1120" t="str">
        <f>"avanddanesh"</f>
        <v>avanddanesh</v>
      </c>
    </row>
    <row r="1121" spans="1:7" x14ac:dyDescent="0.25">
      <c r="A1121" t="str">
        <f>"Lipids and Essential Oils as Antimicrobial Agents"</f>
        <v>Lipids and Essential Oils as Antimicrobial Agents</v>
      </c>
      <c r="B1121" t="str">
        <f>"9780470741788"</f>
        <v>9780470741788</v>
      </c>
      <c r="C1121">
        <v>58</v>
      </c>
      <c r="D1121" t="str">
        <f t="shared" si="76"/>
        <v>USD</v>
      </c>
      <c r="E1121" t="str">
        <f>"2011"</f>
        <v>2011</v>
      </c>
      <c r="F1121" t="str">
        <f>"Thormar"</f>
        <v>Thormar</v>
      </c>
      <c r="G1121" t="str">
        <f>"avanddanesh"</f>
        <v>avanddanesh</v>
      </c>
    </row>
    <row r="1122" spans="1:7" x14ac:dyDescent="0.25">
      <c r="A1122" t="str">
        <f>"Liquid Chromatography Time-of-Flight Mass Spectrometry"</f>
        <v>Liquid Chromatography Time-of-Flight Mass Spectrometry</v>
      </c>
      <c r="B1122" t="str">
        <f>"9780470137970"</f>
        <v>9780470137970</v>
      </c>
      <c r="C1122">
        <v>84.41</v>
      </c>
      <c r="D1122" t="str">
        <f t="shared" si="76"/>
        <v>USD</v>
      </c>
      <c r="E1122" t="str">
        <f>"2009"</f>
        <v>2009</v>
      </c>
      <c r="F1122" t="str">
        <f>"Ferrer"</f>
        <v>Ferrer</v>
      </c>
      <c r="G1122" t="str">
        <f>"safirketab"</f>
        <v>safirketab</v>
      </c>
    </row>
    <row r="1123" spans="1:7" x14ac:dyDescent="0.25">
      <c r="A1123" t="str">
        <f>"Liquid Chromatography, Applications, 2nd Edition"</f>
        <v>Liquid Chromatography, Applications, 2nd Edition</v>
      </c>
      <c r="B1123" t="str">
        <f>"9780128053898"</f>
        <v>9780128053898</v>
      </c>
      <c r="C1123">
        <v>175.5</v>
      </c>
      <c r="D1123" t="str">
        <f t="shared" si="76"/>
        <v>USD</v>
      </c>
      <c r="E1123" t="str">
        <f>"2017"</f>
        <v>2017</v>
      </c>
      <c r="F1123" t="str">
        <f>"Fanali et al"</f>
        <v>Fanali et al</v>
      </c>
      <c r="G1123" t="str">
        <f>"dehkadehketab"</f>
        <v>dehkadehketab</v>
      </c>
    </row>
    <row r="1124" spans="1:7" x14ac:dyDescent="0.25">
      <c r="A1124" t="str">
        <f>"Liquid Chromatography, Fundamentals and Instrumentation, 2nd Edition"</f>
        <v>Liquid Chromatography, Fundamentals and Instrumentation, 2nd Edition</v>
      </c>
      <c r="B1124" t="str">
        <f>"9780128053928"</f>
        <v>9780128053928</v>
      </c>
      <c r="C1124">
        <v>175.5</v>
      </c>
      <c r="D1124" t="str">
        <f t="shared" si="76"/>
        <v>USD</v>
      </c>
      <c r="E1124" t="str">
        <f>"2017"</f>
        <v>2017</v>
      </c>
      <c r="F1124" t="str">
        <f>"Fanali et al"</f>
        <v>Fanali et al</v>
      </c>
      <c r="G1124" t="str">
        <f>"dehkadehketab"</f>
        <v>dehkadehketab</v>
      </c>
    </row>
    <row r="1125" spans="1:7" x14ac:dyDescent="0.25">
      <c r="A1125" t="str">
        <f>"Liquid Chromatography, Fundamentals and Instrumentation, 2nd Edition"</f>
        <v>Liquid Chromatography, Fundamentals and Instrumentation, 2nd Edition</v>
      </c>
      <c r="B1125" t="str">
        <f>"9780128053935"</f>
        <v>9780128053935</v>
      </c>
      <c r="C1125">
        <v>175.5</v>
      </c>
      <c r="D1125" t="str">
        <f t="shared" si="76"/>
        <v>USD</v>
      </c>
      <c r="E1125" t="str">
        <f>"2017"</f>
        <v>2017</v>
      </c>
      <c r="F1125" t="str">
        <f>"Fanali et al"</f>
        <v>Fanali et al</v>
      </c>
      <c r="G1125" t="str">
        <f>"arang"</f>
        <v>arang</v>
      </c>
    </row>
    <row r="1126" spans="1:7" x14ac:dyDescent="0.25">
      <c r="A1126" t="str">
        <f>"Liquid Phase Aerobic Oxidation Catalysis: Industrial Applications and Academic Perspectives"</f>
        <v>Liquid Phase Aerobic Oxidation Catalysis: Industrial Applications and Academic Perspectives</v>
      </c>
      <c r="B1126" t="str">
        <f>"9783527337811"</f>
        <v>9783527337811</v>
      </c>
      <c r="C1126">
        <v>161.5</v>
      </c>
      <c r="D1126" t="str">
        <f t="shared" si="76"/>
        <v>USD</v>
      </c>
      <c r="E1126" t="str">
        <f>"2016"</f>
        <v>2016</v>
      </c>
      <c r="F1126" t="str">
        <f>"Stahl"</f>
        <v>Stahl</v>
      </c>
      <c r="G1126" t="str">
        <f>"avanddanesh"</f>
        <v>avanddanesh</v>
      </c>
    </row>
    <row r="1127" spans="1:7" x14ac:dyDescent="0.25">
      <c r="A1127" t="str">
        <f>"Liquid-State Physical Chemistry: Fundamentals, Modeling, and Applications"</f>
        <v>Liquid-State Physical Chemistry: Fundamentals, Modeling, and Applications</v>
      </c>
      <c r="B1127" t="str">
        <f>"9783527333226"</f>
        <v>9783527333226</v>
      </c>
      <c r="C1127">
        <v>97.5</v>
      </c>
      <c r="D1127" t="str">
        <f t="shared" si="76"/>
        <v>USD</v>
      </c>
      <c r="E1127" t="str">
        <f>"2013"</f>
        <v>2013</v>
      </c>
      <c r="F1127" t="str">
        <f>"de With"</f>
        <v>de With</v>
      </c>
      <c r="G1127" t="str">
        <f>"avanddanesh"</f>
        <v>avanddanesh</v>
      </c>
    </row>
    <row r="1128" spans="1:7" x14ac:dyDescent="0.25">
      <c r="A1128" t="str">
        <f>"List of MAK and BAT Values 2007: Commission for the Investigation of Health Hazards of Chemical Compounds in the Work Area, Report 43"</f>
        <v>List of MAK and BAT Values 2007: Commission for the Investigation of Health Hazards of Chemical Compounds in the Work Area, Report 43</v>
      </c>
      <c r="B1128" t="str">
        <f>"9783527319558"</f>
        <v>9783527319558</v>
      </c>
      <c r="C1128">
        <v>72</v>
      </c>
      <c r="D1128" t="str">
        <f t="shared" si="76"/>
        <v>USD</v>
      </c>
      <c r="E1128" t="str">
        <f>"2007"</f>
        <v>2007</v>
      </c>
      <c r="F1128" t="str">
        <f>"DF"</f>
        <v>DF</v>
      </c>
      <c r="G1128" t="str">
        <f>"safirketab"</f>
        <v>safirketab</v>
      </c>
    </row>
    <row r="1129" spans="1:7" x14ac:dyDescent="0.25">
      <c r="A1129" t="str">
        <f>"List of MAK and BAT Values 2009:Maximum Concentrations and Biological Tolerance Values at the Workplace"</f>
        <v>List of MAK and BAT Values 2009:Maximum Concentrations and Biological Tolerance Values at the Workplace</v>
      </c>
      <c r="B1129" t="str">
        <f>"9783527325962"</f>
        <v>9783527325962</v>
      </c>
      <c r="C1129">
        <v>60</v>
      </c>
      <c r="D1129" t="str">
        <f t="shared" si="76"/>
        <v>USD</v>
      </c>
      <c r="E1129" t="str">
        <f>"2009"</f>
        <v>2009</v>
      </c>
      <c r="F1129" t="str">
        <f>"DFG"</f>
        <v>DFG</v>
      </c>
      <c r="G1129" t="str">
        <f>"safirketab"</f>
        <v>safirketab</v>
      </c>
    </row>
    <row r="1130" spans="1:7" x14ac:dyDescent="0.25">
      <c r="A1130" t="str">
        <f>"List of MAK and BAT Values 2011: Maximum Concentrations and Biological Tolerance Values at the Workplace, Report 47"</f>
        <v>List of MAK and BAT Values 2011: Maximum Concentrations and Biological Tolerance Values at the Workplace, Report 47</v>
      </c>
      <c r="B1130" t="str">
        <f>"9783527330614"</f>
        <v>9783527330614</v>
      </c>
      <c r="C1130">
        <v>52</v>
      </c>
      <c r="D1130" t="str">
        <f t="shared" si="76"/>
        <v>USD</v>
      </c>
      <c r="E1130" t="str">
        <f>"2011"</f>
        <v>2011</v>
      </c>
      <c r="F1130" t="str">
        <f>"DFG"</f>
        <v>DFG</v>
      </c>
      <c r="G1130" t="str">
        <f>"avanddanesh"</f>
        <v>avanddanesh</v>
      </c>
    </row>
    <row r="1131" spans="1:7" x14ac:dyDescent="0.25">
      <c r="A1131" t="str">
        <f>"Local Structural Characterisation: Inorganic Materials Series"</f>
        <v>Local Structural Characterisation: Inorganic Materials Series</v>
      </c>
      <c r="B1131" t="str">
        <f>"9781119953203"</f>
        <v>9781119953203</v>
      </c>
      <c r="C1131">
        <v>68.3</v>
      </c>
      <c r="D1131" t="str">
        <f t="shared" si="76"/>
        <v>USD</v>
      </c>
      <c r="E1131" t="str">
        <f>"2013"</f>
        <v>2013</v>
      </c>
      <c r="F1131" t="str">
        <f>"Bruce"</f>
        <v>Bruce</v>
      </c>
      <c r="G1131" t="str">
        <f>"avanddanesh"</f>
        <v>avanddanesh</v>
      </c>
    </row>
    <row r="1132" spans="1:7" x14ac:dyDescent="0.25">
      <c r="A1132" t="str">
        <f>"Low Grade Heat Driven Multi-Effect Distillation and Desalination"</f>
        <v>Low Grade Heat Driven Multi-Effect Distillation and Desalination</v>
      </c>
      <c r="B1132" t="str">
        <f>"9780128051245"</f>
        <v>9780128051245</v>
      </c>
      <c r="C1132">
        <v>180</v>
      </c>
      <c r="D1132" t="str">
        <f t="shared" si="76"/>
        <v>USD</v>
      </c>
      <c r="E1132" t="str">
        <f>"2017"</f>
        <v>2017</v>
      </c>
      <c r="F1132" t="str">
        <f>"Chua and Rahimi"</f>
        <v>Chua and Rahimi</v>
      </c>
      <c r="G1132" t="str">
        <f>"dehkadehketab"</f>
        <v>dehkadehketab</v>
      </c>
    </row>
    <row r="1133" spans="1:7" x14ac:dyDescent="0.25">
      <c r="A1133" t="str">
        <f>"Low Temperatures And Cold Molecules"</f>
        <v>Low Temperatures And Cold Molecules</v>
      </c>
      <c r="B1133" t="str">
        <f>"9781848162099"</f>
        <v>9781848162099</v>
      </c>
      <c r="C1133">
        <v>39.5</v>
      </c>
      <c r="D1133" t="str">
        <f>"GBP"</f>
        <v>GBP</v>
      </c>
      <c r="E1133" t="str">
        <f>"2008"</f>
        <v>2008</v>
      </c>
      <c r="F1133" t="str">
        <f>"Smith Ian W M"</f>
        <v>Smith Ian W M</v>
      </c>
      <c r="G1133" t="str">
        <f>"kowkab"</f>
        <v>kowkab</v>
      </c>
    </row>
    <row r="1134" spans="1:7" x14ac:dyDescent="0.25">
      <c r="A1134" t="str">
        <f>"Low Voltage Electron Microscopy: Principles and Applications"</f>
        <v>Low Voltage Electron Microscopy: Principles and Applications</v>
      </c>
      <c r="B1134" t="str">
        <f>"9781119971115"</f>
        <v>9781119971115</v>
      </c>
      <c r="C1134">
        <v>68.3</v>
      </c>
      <c r="D1134" t="str">
        <f>"USD"</f>
        <v>USD</v>
      </c>
      <c r="E1134" t="str">
        <f>"2013"</f>
        <v>2013</v>
      </c>
      <c r="F1134" t="str">
        <f>"Bell"</f>
        <v>Bell</v>
      </c>
      <c r="G1134" t="str">
        <f>"avanddanesh"</f>
        <v>avanddanesh</v>
      </c>
    </row>
    <row r="1135" spans="1:7" x14ac:dyDescent="0.25">
      <c r="A1135" t="str">
        <f>"Low-Dimensional Systems: Theory. Preparation. and Some Applications"</f>
        <v>Low-Dimensional Systems: Theory. Preparation. and Some Applications</v>
      </c>
      <c r="B1135" t="str">
        <f>"9781402011689"</f>
        <v>9781402011689</v>
      </c>
      <c r="C1135">
        <v>103.99</v>
      </c>
      <c r="D1135" t="str">
        <f>"USD"</f>
        <v>USD</v>
      </c>
      <c r="E1135" t="str">
        <f>"2003"</f>
        <v>2003</v>
      </c>
      <c r="F1135" t="str">
        <f>"Liz-Marz?n,Luis M.(E"</f>
        <v>Liz-Marz?n,Luis M.(E</v>
      </c>
      <c r="G1135" t="str">
        <f>"safirketab"</f>
        <v>safirketab</v>
      </c>
    </row>
    <row r="1136" spans="1:7" x14ac:dyDescent="0.25">
      <c r="A1136" t="str">
        <f>"Luminescence in Electrochemistry: Applications in Analytical Chemistry. Physics and Biology"</f>
        <v>Luminescence in Electrochemistry: Applications in Analytical Chemistry. Physics and Biology</v>
      </c>
      <c r="B1136" t="str">
        <f>"9783319491356"</f>
        <v>9783319491356</v>
      </c>
      <c r="C1136">
        <v>134.99</v>
      </c>
      <c r="D1136" t="str">
        <f>"EUR"</f>
        <v>EUR</v>
      </c>
      <c r="E1136" t="str">
        <f>"2017"</f>
        <v>2017</v>
      </c>
      <c r="F1136" t="str">
        <f>"Miomandre"</f>
        <v>Miomandre</v>
      </c>
      <c r="G1136" t="str">
        <f>"negarestanabi"</f>
        <v>negarestanabi</v>
      </c>
    </row>
    <row r="1137" spans="1:7" x14ac:dyDescent="0.25">
      <c r="A1137" t="str">
        <f>"Luminescence of Lanthanide Ions in Coordination Compounds and Nanomaterials"</f>
        <v>Luminescence of Lanthanide Ions in Coordination Compounds and Nanomaterials</v>
      </c>
      <c r="B1137" t="str">
        <f>"9781119950837"</f>
        <v>9781119950837</v>
      </c>
      <c r="C1137">
        <v>120</v>
      </c>
      <c r="D1137" t="str">
        <f>"USD"</f>
        <v>USD</v>
      </c>
      <c r="E1137" t="str">
        <f>"2014"</f>
        <v>2014</v>
      </c>
      <c r="F1137" t="str">
        <f>"de Bettencourt-Dias"</f>
        <v>de Bettencourt-Dias</v>
      </c>
      <c r="G1137" t="str">
        <f>"avanddanesh"</f>
        <v>avanddanesh</v>
      </c>
    </row>
    <row r="1138" spans="1:7" x14ac:dyDescent="0.25">
      <c r="A1138" t="str">
        <f>"Macrocycles in Drug Discovery"</f>
        <v>Macrocycles in Drug Discovery</v>
      </c>
      <c r="B1138" t="str">
        <f>"9781849737012"</f>
        <v>9781849737012</v>
      </c>
      <c r="C1138">
        <v>96.3</v>
      </c>
      <c r="D1138" t="str">
        <f>"GBP"</f>
        <v>GBP</v>
      </c>
      <c r="E1138" t="str">
        <f>"2014"</f>
        <v>2014</v>
      </c>
      <c r="F1138" t="str">
        <f>"Jeremy Levin(Editor)"</f>
        <v>Jeremy Levin(Editor)</v>
      </c>
      <c r="G1138" t="str">
        <f>"arzinbooks"</f>
        <v>arzinbooks</v>
      </c>
    </row>
    <row r="1139" spans="1:7" x14ac:dyDescent="0.25">
      <c r="A1139" t="str">
        <f>"Macrocyclic and Supramolecular Chemistry: How Izatt-Christensen Award Winners Shaped the Field"</f>
        <v>Macrocyclic and Supramolecular Chemistry: How Izatt-Christensen Award Winners Shaped the Field</v>
      </c>
      <c r="B1139" t="str">
        <f>"9781119053842"</f>
        <v>9781119053842</v>
      </c>
      <c r="C1139">
        <v>136</v>
      </c>
      <c r="D1139" t="str">
        <f>"USD"</f>
        <v>USD</v>
      </c>
      <c r="E1139" t="str">
        <f>"2016"</f>
        <v>2016</v>
      </c>
      <c r="F1139" t="str">
        <f>"Izatt"</f>
        <v>Izatt</v>
      </c>
      <c r="G1139" t="str">
        <f>"avanddanesh"</f>
        <v>avanddanesh</v>
      </c>
    </row>
    <row r="1140" spans="1:7" x14ac:dyDescent="0.25">
      <c r="A1140" t="str">
        <f>"Macromolecular Self-Assembly"</f>
        <v>Macromolecular Self-Assembly</v>
      </c>
      <c r="B1140" t="str">
        <f>"9781118887127"</f>
        <v>9781118887127</v>
      </c>
      <c r="C1140">
        <v>127.5</v>
      </c>
      <c r="D1140" t="str">
        <f>"USD"</f>
        <v>USD</v>
      </c>
      <c r="E1140" t="str">
        <f>"2016"</f>
        <v>2016</v>
      </c>
      <c r="F1140" t="str">
        <f>"Billon"</f>
        <v>Billon</v>
      </c>
      <c r="G1140" t="str">
        <f>"avanddanesh"</f>
        <v>avanddanesh</v>
      </c>
    </row>
    <row r="1141" spans="1:7" x14ac:dyDescent="0.25">
      <c r="A1141" t="str">
        <f>"Magnetic Circular Dichroism Spectroscopy"</f>
        <v>Magnetic Circular Dichroism Spectroscopy</v>
      </c>
      <c r="B1141" t="str">
        <f>"9780470069783"</f>
        <v>9780470069783</v>
      </c>
      <c r="C1141">
        <v>89.97</v>
      </c>
      <c r="D1141" t="str">
        <f>"USD"</f>
        <v>USD</v>
      </c>
      <c r="E1141" t="str">
        <f>"2007"</f>
        <v>2007</v>
      </c>
      <c r="F1141" t="str">
        <f>"Mason"</f>
        <v>Mason</v>
      </c>
      <c r="G1141" t="str">
        <f>"safirketab"</f>
        <v>safirketab</v>
      </c>
    </row>
    <row r="1142" spans="1:7" x14ac:dyDescent="0.25">
      <c r="A1142" t="str">
        <f>"Magnetic Resonance Elastography: Physical Background and Medical Applications"</f>
        <v>Magnetic Resonance Elastography: Physical Background and Medical Applications</v>
      </c>
      <c r="B1142" t="str">
        <f>"9783527340088"</f>
        <v>9783527340088</v>
      </c>
      <c r="C1142">
        <v>193.5</v>
      </c>
      <c r="D1142" t="str">
        <f>"USD"</f>
        <v>USD</v>
      </c>
      <c r="E1142" t="str">
        <f>"2017"</f>
        <v>2017</v>
      </c>
      <c r="F1142" t="str">
        <f>"Hirsch"</f>
        <v>Hirsch</v>
      </c>
      <c r="G1142" t="str">
        <f>"avanddanesh"</f>
        <v>avanddanesh</v>
      </c>
    </row>
    <row r="1143" spans="1:7" x14ac:dyDescent="0.25">
      <c r="A1143" t="str">
        <f>"Magnetic Resonance Imaging in Tissue Engineering"</f>
        <v>Magnetic Resonance Imaging in Tissue Engineering</v>
      </c>
      <c r="B1143" t="str">
        <f>"9781119193357"</f>
        <v>9781119193357</v>
      </c>
      <c r="C1143">
        <v>175.5</v>
      </c>
      <c r="D1143" t="str">
        <f>"USD"</f>
        <v>USD</v>
      </c>
      <c r="E1143" t="str">
        <f>"2017"</f>
        <v>2017</v>
      </c>
      <c r="F1143" t="str">
        <f>"Kotecha"</f>
        <v>Kotecha</v>
      </c>
      <c r="G1143" t="str">
        <f>"avanddanesh"</f>
        <v>avanddanesh</v>
      </c>
    </row>
    <row r="1144" spans="1:7" x14ac:dyDescent="0.25">
      <c r="A1144" t="str">
        <f>"Magnetic Resonance in Food Science : Defining Food by Magnetic Resonance"</f>
        <v>Magnetic Resonance in Food Science : Defining Food by Magnetic Resonance</v>
      </c>
      <c r="B1144" t="str">
        <f>"9781782620310"</f>
        <v>9781782620310</v>
      </c>
      <c r="C1144">
        <v>66</v>
      </c>
      <c r="D1144" t="str">
        <f>"GBP"</f>
        <v>GBP</v>
      </c>
      <c r="E1144" t="str">
        <f>"2015"</f>
        <v>2015</v>
      </c>
      <c r="F1144" t="str">
        <f>"Capozzi, Laghi, Belt"</f>
        <v>Capozzi, Laghi, Belt</v>
      </c>
      <c r="G1144" t="str">
        <f>"arzinbooks"</f>
        <v>arzinbooks</v>
      </c>
    </row>
    <row r="1145" spans="1:7" x14ac:dyDescent="0.25">
      <c r="A1145" t="str">
        <f>"Magnetic Resonance Microscopy:Spatially Resolved NMR Techniques and Applications"</f>
        <v>Magnetic Resonance Microscopy:Spatially Resolved NMR Techniques and Applications</v>
      </c>
      <c r="B1145" t="str">
        <f>"9783527320080"</f>
        <v>9783527320080</v>
      </c>
      <c r="C1145">
        <v>168.75</v>
      </c>
      <c r="D1145" t="str">
        <f t="shared" ref="D1145:D1156" si="77">"USD"</f>
        <v>USD</v>
      </c>
      <c r="E1145" t="str">
        <f>"2009"</f>
        <v>2009</v>
      </c>
      <c r="F1145" t="str">
        <f>"Codd"</f>
        <v>Codd</v>
      </c>
      <c r="G1145" t="str">
        <f>"safirketab"</f>
        <v>safirketab</v>
      </c>
    </row>
    <row r="1146" spans="1:7" x14ac:dyDescent="0.25">
      <c r="A1146" t="str">
        <f>"Main Group Metal Coordination Polymers: Structures and Nanostructures"</f>
        <v>Main Group Metal Coordination Polymers: Structures and Nanostructures</v>
      </c>
      <c r="B1146" t="str">
        <f>"9781119370239"</f>
        <v>9781119370239</v>
      </c>
      <c r="C1146">
        <v>175.5</v>
      </c>
      <c r="D1146" t="str">
        <f t="shared" si="77"/>
        <v>USD</v>
      </c>
      <c r="E1146" t="str">
        <f>"2017"</f>
        <v>2017</v>
      </c>
      <c r="F1146" t="str">
        <f>"Hashemi"</f>
        <v>Hashemi</v>
      </c>
      <c r="G1146" t="str">
        <f>"avanddanesh"</f>
        <v>avanddanesh</v>
      </c>
    </row>
    <row r="1147" spans="1:7" x14ac:dyDescent="0.25">
      <c r="A1147" t="str">
        <f>"MAK Value Documentations, Part I, V23"</f>
        <v>MAK Value Documentations, Part I, V23</v>
      </c>
      <c r="B1147" t="str">
        <f>"9783527315956"</f>
        <v>9783527315956</v>
      </c>
      <c r="C1147">
        <v>147</v>
      </c>
      <c r="D1147" t="str">
        <f t="shared" si="77"/>
        <v>USD</v>
      </c>
      <c r="E1147" t="str">
        <f>"2007"</f>
        <v>2007</v>
      </c>
      <c r="F1147" t="str">
        <f>"Greim"</f>
        <v>Greim</v>
      </c>
      <c r="G1147" t="str">
        <f>"safirketab"</f>
        <v>safirketab</v>
      </c>
    </row>
    <row r="1148" spans="1:7" x14ac:dyDescent="0.25">
      <c r="A1148" t="str">
        <f>"MAK Value Documentations, Part I, V24"</f>
        <v>MAK Value Documentations, Part I, V24</v>
      </c>
      <c r="B1148" t="str">
        <f>"9783527315949"</f>
        <v>9783527315949</v>
      </c>
      <c r="C1148">
        <v>102</v>
      </c>
      <c r="D1148" t="str">
        <f t="shared" si="77"/>
        <v>USD</v>
      </c>
      <c r="E1148" t="str">
        <f>"2007"</f>
        <v>2007</v>
      </c>
      <c r="F1148" t="str">
        <f>"Greim"</f>
        <v>Greim</v>
      </c>
      <c r="G1148" t="str">
        <f>"safirketab"</f>
        <v>safirketab</v>
      </c>
    </row>
    <row r="1149" spans="1:7" x14ac:dyDescent="0.25">
      <c r="A1149" t="str">
        <f>"Making Chemistry Relevant: Strategies for Including All Students in a Learner-Sensitive Classroom Environment"</f>
        <v>Making Chemistry Relevant: Strategies for Including All Students in a Learner-Sensitive Classroom Environment</v>
      </c>
      <c r="B1149" t="str">
        <f>"9780470278987"</f>
        <v>9780470278987</v>
      </c>
      <c r="C1149">
        <v>41.2</v>
      </c>
      <c r="D1149" t="str">
        <f t="shared" si="77"/>
        <v>USD</v>
      </c>
      <c r="E1149" t="str">
        <f>"2010"</f>
        <v>2010</v>
      </c>
      <c r="F1149" t="str">
        <f>"Basu-Dutt"</f>
        <v>Basu-Dutt</v>
      </c>
      <c r="G1149" t="str">
        <f>"safirketab"</f>
        <v>safirketab</v>
      </c>
    </row>
    <row r="1150" spans="1:7" x14ac:dyDescent="0.25">
      <c r="A1150" t="str">
        <f>"Making Chemistry Relevant: Strategies for Including All Students in a Learner-Sensitive Classroom Environment"</f>
        <v>Making Chemistry Relevant: Strategies for Including All Students in a Learner-Sensitive Classroom Environment</v>
      </c>
      <c r="B1150" t="str">
        <f>"9780470278987"</f>
        <v>9780470278987</v>
      </c>
      <c r="C1150">
        <v>41.2</v>
      </c>
      <c r="D1150" t="str">
        <f t="shared" si="77"/>
        <v>USD</v>
      </c>
      <c r="E1150" t="str">
        <f>"2010"</f>
        <v>2010</v>
      </c>
      <c r="F1150" t="str">
        <f>"Basu-Dutt"</f>
        <v>Basu-Dutt</v>
      </c>
      <c r="G1150" t="str">
        <f>"avanddanesh"</f>
        <v>avanddanesh</v>
      </c>
    </row>
    <row r="1151" spans="1:7" x14ac:dyDescent="0.25">
      <c r="A1151" t="str">
        <f>"Making Crystals by Design: Methods, Techniques and Applications"</f>
        <v>Making Crystals by Design: Methods, Techniques and Applications</v>
      </c>
      <c r="B1151" t="str">
        <f>"9783527315062"</f>
        <v>9783527315062</v>
      </c>
      <c r="C1151">
        <v>109.2</v>
      </c>
      <c r="D1151" t="str">
        <f t="shared" si="77"/>
        <v>USD</v>
      </c>
      <c r="E1151" t="str">
        <f>"2006"</f>
        <v>2006</v>
      </c>
      <c r="F1151" t="str">
        <f>"Braga"</f>
        <v>Braga</v>
      </c>
      <c r="G1151" t="str">
        <f>"avanddanesh"</f>
        <v>avanddanesh</v>
      </c>
    </row>
    <row r="1152" spans="1:7" x14ac:dyDescent="0.25">
      <c r="A1152" t="str">
        <f>"Making Crystals by Design: Methods, Techniques and Applications"</f>
        <v>Making Crystals by Design: Methods, Techniques and Applications</v>
      </c>
      <c r="B1152" t="str">
        <f>"9783527315062"</f>
        <v>9783527315062</v>
      </c>
      <c r="C1152">
        <v>109.2</v>
      </c>
      <c r="D1152" t="str">
        <f t="shared" si="77"/>
        <v>USD</v>
      </c>
      <c r="E1152" t="str">
        <f>"2007"</f>
        <v>2007</v>
      </c>
      <c r="F1152" t="str">
        <f>"Braga-Chemistry"</f>
        <v>Braga-Chemistry</v>
      </c>
      <c r="G1152" t="str">
        <f>"safirketab"</f>
        <v>safirketab</v>
      </c>
    </row>
    <row r="1153" spans="1:7" x14ac:dyDescent="0.25">
      <c r="A1153" t="str">
        <f>"MALDI Mass Spectrometry for Synthetic Polymer Analysis "</f>
        <v xml:space="preserve">MALDI Mass Spectrometry for Synthetic Polymer Analysis </v>
      </c>
      <c r="B1153" t="str">
        <f>"9780471775799"</f>
        <v>9780471775799</v>
      </c>
      <c r="C1153">
        <v>83.96</v>
      </c>
      <c r="D1153" t="str">
        <f t="shared" si="77"/>
        <v>USD</v>
      </c>
      <c r="E1153" t="str">
        <f>"2010"</f>
        <v>2010</v>
      </c>
      <c r="F1153" t="str">
        <f>"Li"</f>
        <v>Li</v>
      </c>
      <c r="G1153" t="str">
        <f>"safirketab"</f>
        <v>safirketab</v>
      </c>
    </row>
    <row r="1154" spans="1:7" x14ac:dyDescent="0.25">
      <c r="A1154" t="str">
        <f>"MALDI-TOF and Tandem MS for Clinical Microbiology"</f>
        <v>MALDI-TOF and Tandem MS for Clinical Microbiology</v>
      </c>
      <c r="B1154" t="str">
        <f>"9781118960257"</f>
        <v>9781118960257</v>
      </c>
      <c r="C1154">
        <v>135</v>
      </c>
      <c r="D1154" t="str">
        <f t="shared" si="77"/>
        <v>USD</v>
      </c>
      <c r="E1154" t="str">
        <f>"2017"</f>
        <v>2017</v>
      </c>
      <c r="F1154" t="str">
        <f>"Shah"</f>
        <v>Shah</v>
      </c>
      <c r="G1154" t="str">
        <f>"avanddanesh"</f>
        <v>avanddanesh</v>
      </c>
    </row>
    <row r="1155" spans="1:7" x14ac:dyDescent="0.25">
      <c r="A1155" t="str">
        <f>"Management Principles of Sustainable Industrial Chemistry"</f>
        <v>Management Principles of Sustainable Industrial Chemistry</v>
      </c>
      <c r="B1155" t="str">
        <f>"9783527330997"</f>
        <v>9783527330997</v>
      </c>
      <c r="C1155">
        <v>83.8</v>
      </c>
      <c r="D1155" t="str">
        <f t="shared" si="77"/>
        <v>USD</v>
      </c>
      <c r="E1155" t="str">
        <f>"2013"</f>
        <v>2013</v>
      </c>
      <c r="F1155" t="str">
        <f>"Reniers"</f>
        <v>Reniers</v>
      </c>
      <c r="G1155" t="str">
        <f>"avanddanesh"</f>
        <v>avanddanesh</v>
      </c>
    </row>
    <row r="1156" spans="1:7" x14ac:dyDescent="0.25">
      <c r="A1156" t="str">
        <f>"Managing the Documentation Maze: Answers to Questions You Didn't Even Know to Ask"</f>
        <v>Managing the Documentation Maze: Answers to Questions You Didn't Even Know to Ask</v>
      </c>
      <c r="B1156" t="str">
        <f>"9780470467084"</f>
        <v>9780470467084</v>
      </c>
      <c r="C1156">
        <v>76.23</v>
      </c>
      <c r="D1156" t="str">
        <f t="shared" si="77"/>
        <v>USD</v>
      </c>
      <c r="E1156" t="str">
        <f>"2010"</f>
        <v>2010</v>
      </c>
      <c r="F1156" t="str">
        <f>"Gough"</f>
        <v>Gough</v>
      </c>
      <c r="G1156" t="str">
        <f>"safirketab"</f>
        <v>safirketab</v>
      </c>
    </row>
    <row r="1157" spans="1:7" x14ac:dyDescent="0.25">
      <c r="A1157" t="str">
        <f>"MARINE COSMECEUTICALS"</f>
        <v>MARINE COSMECEUTICALS</v>
      </c>
      <c r="B1157" t="str">
        <f>"9781439860281"</f>
        <v>9781439860281</v>
      </c>
      <c r="C1157">
        <v>73.2</v>
      </c>
      <c r="D1157" t="str">
        <f>"GBP"</f>
        <v>GBP</v>
      </c>
      <c r="E1157" t="str">
        <f>"2012"</f>
        <v>2012</v>
      </c>
      <c r="F1157" t="str">
        <f>"KIM"</f>
        <v>KIM</v>
      </c>
      <c r="G1157" t="str">
        <f>"AsarBartar"</f>
        <v>AsarBartar</v>
      </c>
    </row>
    <row r="1158" spans="1:7" x14ac:dyDescent="0.25">
      <c r="A1158" t="str">
        <f>"Mass Spectrometry and Stable Isotopes in Nutritional and Pediatric Research"</f>
        <v>Mass Spectrometry and Stable Isotopes in Nutritional and Pediatric Research</v>
      </c>
      <c r="B1158" t="str">
        <f>"9781118858776"</f>
        <v>9781118858776</v>
      </c>
      <c r="C1158">
        <v>144</v>
      </c>
      <c r="D1158" t="str">
        <f>"USD"</f>
        <v>USD</v>
      </c>
      <c r="E1158" t="str">
        <f>"2017"</f>
        <v>2017</v>
      </c>
      <c r="F1158" t="str">
        <f>"Schierbeek"</f>
        <v>Schierbeek</v>
      </c>
      <c r="G1158" t="str">
        <f>"avanddanesh"</f>
        <v>avanddanesh</v>
      </c>
    </row>
    <row r="1159" spans="1:7" x14ac:dyDescent="0.25">
      <c r="A1159" t="str">
        <f>"Mass Spectrometry in Structural Biology and Biophysics: Architecture, Dynamics, and Interaction of Biomolecules,2e"</f>
        <v>Mass Spectrometry in Structural Biology and Biophysics: Architecture, Dynamics, and Interaction of Biomolecules,2e</v>
      </c>
      <c r="B1159" t="str">
        <f>"9780470937792"</f>
        <v>9780470937792</v>
      </c>
      <c r="C1159">
        <v>93</v>
      </c>
      <c r="D1159" t="str">
        <f>"USD"</f>
        <v>USD</v>
      </c>
      <c r="E1159" t="str">
        <f>"2012"</f>
        <v>2012</v>
      </c>
      <c r="F1159" t="str">
        <f>"Kaltashov"</f>
        <v>Kaltashov</v>
      </c>
      <c r="G1159" t="str">
        <f>"avanddanesh"</f>
        <v>avanddanesh</v>
      </c>
    </row>
    <row r="1160" spans="1:7" x14ac:dyDescent="0.25">
      <c r="A1160" t="str">
        <f>"Mass Spectrometry of Non-Covalent Complexes:Supramolecular Chemistry in the Gas Phase"</f>
        <v>Mass Spectrometry of Non-Covalent Complexes:Supramolecular Chemistry in the Gas Phase</v>
      </c>
      <c r="B1160" t="str">
        <f>"9780470131152"</f>
        <v>9780470131152</v>
      </c>
      <c r="C1160">
        <v>93.75</v>
      </c>
      <c r="D1160" t="str">
        <f>"USD"</f>
        <v>USD</v>
      </c>
      <c r="E1160" t="str">
        <f>"2009"</f>
        <v>2009</v>
      </c>
      <c r="F1160" t="str">
        <f>"Schalley"</f>
        <v>Schalley</v>
      </c>
      <c r="G1160" t="str">
        <f>"safirketab"</f>
        <v>safirketab</v>
      </c>
    </row>
    <row r="1161" spans="1:7" x14ac:dyDescent="0.25">
      <c r="A1161" t="str">
        <f>"Mass Spectrometry of Protein Interactions"</f>
        <v>Mass Spectrometry of Protein Interactions</v>
      </c>
      <c r="B1161" t="str">
        <f>"9780471793731"</f>
        <v>9780471793731</v>
      </c>
      <c r="C1161">
        <v>44.37</v>
      </c>
      <c r="D1161" t="str">
        <f>"USD"</f>
        <v>USD</v>
      </c>
      <c r="E1161" t="str">
        <f>"2007"</f>
        <v>2007</v>
      </c>
      <c r="F1161" t="str">
        <f>"Downard"</f>
        <v>Downard</v>
      </c>
      <c r="G1161" t="str">
        <f>"safirketab"</f>
        <v>safirketab</v>
      </c>
    </row>
    <row r="1162" spans="1:7" x14ac:dyDescent="0.25">
      <c r="A1162" t="str">
        <f>"Mass Spectrometry Primer"</f>
        <v>Mass Spectrometry Primer</v>
      </c>
      <c r="B1162" t="str">
        <f>"9781879732049"</f>
        <v>9781879732049</v>
      </c>
      <c r="C1162">
        <v>38.200000000000003</v>
      </c>
      <c r="D1162" t="str">
        <f>"USD"</f>
        <v>USD</v>
      </c>
      <c r="E1162" t="str">
        <f>"2014"</f>
        <v>2014</v>
      </c>
      <c r="F1162" t="str">
        <f>"Balogh"</f>
        <v>Balogh</v>
      </c>
      <c r="G1162" t="str">
        <f>"avanddanesh"</f>
        <v>avanddanesh</v>
      </c>
    </row>
    <row r="1163" spans="1:7" x14ac:dyDescent="0.25">
      <c r="A1163" t="str">
        <f>"Mass Spectrometry: A Textbook. 3/ed"</f>
        <v>Mass Spectrometry: A Textbook. 3/ed</v>
      </c>
      <c r="B1163" t="str">
        <f>"9783319543970"</f>
        <v>9783319543970</v>
      </c>
      <c r="C1163">
        <v>98.99</v>
      </c>
      <c r="D1163" t="str">
        <f>"EUR"</f>
        <v>EUR</v>
      </c>
      <c r="E1163" t="str">
        <f>"2017"</f>
        <v>2017</v>
      </c>
      <c r="F1163" t="str">
        <f>"Gross"</f>
        <v>Gross</v>
      </c>
      <c r="G1163" t="str">
        <f>"negarestanabi"</f>
        <v>negarestanabi</v>
      </c>
    </row>
    <row r="1164" spans="1:7" x14ac:dyDescent="0.25">
      <c r="A1164" t="str">
        <f>"Mass Spectrometry:Instrumentation, Interpretation, and Applications"</f>
        <v>Mass Spectrometry:Instrumentation, Interpretation, and Applications</v>
      </c>
      <c r="B1164" t="str">
        <f>"9780471713951"</f>
        <v>9780471713951</v>
      </c>
      <c r="C1164">
        <v>108</v>
      </c>
      <c r="D1164" t="str">
        <f>"USD"</f>
        <v>USD</v>
      </c>
      <c r="E1164" t="str">
        <f>"2009"</f>
        <v>2009</v>
      </c>
      <c r="F1164" t="str">
        <f>"Ekman"</f>
        <v>Ekman</v>
      </c>
      <c r="G1164" t="str">
        <f>"safirketab"</f>
        <v>safirketab</v>
      </c>
    </row>
    <row r="1165" spans="1:7" x14ac:dyDescent="0.25">
      <c r="A1165" t="str">
        <f>"Materials Nanoarchitectonics"</f>
        <v>Materials Nanoarchitectonics</v>
      </c>
      <c r="B1165" t="str">
        <f>"9783527342907"</f>
        <v>9783527342907</v>
      </c>
      <c r="C1165">
        <v>184.5</v>
      </c>
      <c r="D1165" t="str">
        <f>"USD"</f>
        <v>USD</v>
      </c>
      <c r="E1165" t="str">
        <f>"2018"</f>
        <v>2018</v>
      </c>
      <c r="F1165" t="str">
        <f>"Ariga"</f>
        <v>Ariga</v>
      </c>
      <c r="G1165" t="str">
        <f>"avanddanesh"</f>
        <v>avanddanesh</v>
      </c>
    </row>
    <row r="1166" spans="1:7" x14ac:dyDescent="0.25">
      <c r="A1166" t="str">
        <f>"Mathematical Foundations and Applications of Graph Entropy"</f>
        <v>Mathematical Foundations and Applications of Graph Entropy</v>
      </c>
      <c r="B1166" t="str">
        <f>"9783527339099"</f>
        <v>9783527339099</v>
      </c>
      <c r="C1166">
        <v>174.3</v>
      </c>
      <c r="D1166" t="str">
        <f>"USD"</f>
        <v>USD</v>
      </c>
      <c r="E1166" t="str">
        <f>"2016"</f>
        <v>2016</v>
      </c>
      <c r="F1166" t="str">
        <f>"Dehmer"</f>
        <v>Dehmer</v>
      </c>
      <c r="G1166" t="str">
        <f>"avanddanesh"</f>
        <v>avanddanesh</v>
      </c>
    </row>
    <row r="1167" spans="1:7" x14ac:dyDescent="0.25">
      <c r="A1167" t="str">
        <f>"Mathematical Methods for Physical and Analytical Chemistry"</f>
        <v>Mathematical Methods for Physical and Analytical Chemistry</v>
      </c>
      <c r="B1167" t="str">
        <f>"9780470473542"</f>
        <v>9780470473542</v>
      </c>
      <c r="C1167">
        <v>46.4</v>
      </c>
      <c r="D1167" t="str">
        <f>"USD"</f>
        <v>USD</v>
      </c>
      <c r="E1167" t="str">
        <f>"2011"</f>
        <v>2011</v>
      </c>
      <c r="F1167" t="str">
        <f>"Goodson"</f>
        <v>Goodson</v>
      </c>
      <c r="G1167" t="str">
        <f>"avanddanesh"</f>
        <v>avanddanesh</v>
      </c>
    </row>
    <row r="1168" spans="1:7" x14ac:dyDescent="0.25">
      <c r="A1168" t="str">
        <f>"Mathematical Physical Chemistry: Practical and Intuitive Methodology"</f>
        <v>Mathematical Physical Chemistry: Practical and Intuitive Methodology</v>
      </c>
      <c r="B1168" t="str">
        <f>"9789811076701"</f>
        <v>9789811076701</v>
      </c>
      <c r="C1168">
        <v>215.1</v>
      </c>
      <c r="D1168" t="str">
        <f>"EUR"</f>
        <v>EUR</v>
      </c>
      <c r="E1168" t="str">
        <f>"2018"</f>
        <v>2018</v>
      </c>
      <c r="F1168" t="str">
        <f>"Hotta"</f>
        <v>Hotta</v>
      </c>
      <c r="G1168" t="str">
        <f>"negarestanabi"</f>
        <v>negarestanabi</v>
      </c>
    </row>
    <row r="1169" spans="1:7" x14ac:dyDescent="0.25">
      <c r="A1169" t="str">
        <f>"Mathematical Physics with Partial Differential Equations, 2nd Edition"</f>
        <v>Mathematical Physics with Partial Differential Equations, 2nd Edition</v>
      </c>
      <c r="B1169" t="str">
        <f>"9780128147177"</f>
        <v>9780128147177</v>
      </c>
      <c r="C1169">
        <v>117</v>
      </c>
      <c r="D1169" t="str">
        <f>"USD"</f>
        <v>USD</v>
      </c>
      <c r="E1169" t="str">
        <f>"2018"</f>
        <v>2018</v>
      </c>
      <c r="F1169" t="str">
        <f>"Kirkwood"</f>
        <v>Kirkwood</v>
      </c>
      <c r="G1169" t="str">
        <f>"dehkadehketab"</f>
        <v>dehkadehketab</v>
      </c>
    </row>
    <row r="1170" spans="1:7" x14ac:dyDescent="0.25">
      <c r="A1170" t="str">
        <f>"Matter of Density: Exploring the Electron Density Concept in the Chemical, Biological, and Materials Sciences"</f>
        <v>Matter of Density: Exploring the Electron Density Concept in the Chemical, Biological, and Materials Sciences</v>
      </c>
      <c r="B1170" t="str">
        <f>"9780470769003"</f>
        <v>9780470769003</v>
      </c>
      <c r="C1170">
        <v>82.2</v>
      </c>
      <c r="D1170" t="str">
        <f>"USD"</f>
        <v>USD</v>
      </c>
      <c r="E1170" t="str">
        <f>"2012"</f>
        <v>2012</v>
      </c>
      <c r="F1170" t="str">
        <f>"Sukumar"</f>
        <v>Sukumar</v>
      </c>
      <c r="G1170" t="str">
        <f>"avanddanesh"</f>
        <v>avanddanesh</v>
      </c>
    </row>
    <row r="1171" spans="1:7" x14ac:dyDescent="0.25">
      <c r="A1171" t="str">
        <f>"McCance and Widdowson's The Composition of Foods"</f>
        <v>McCance and Widdowson's The Composition of Foods</v>
      </c>
      <c r="B1171" t="str">
        <f>"9781849736367"</f>
        <v>9781849736367</v>
      </c>
      <c r="C1171">
        <v>33</v>
      </c>
      <c r="D1171" t="str">
        <f>"GBP"</f>
        <v>GBP</v>
      </c>
      <c r="E1171" t="str">
        <f>"2014"</f>
        <v>2014</v>
      </c>
      <c r="F1171" t="str">
        <f>"Institute of Food Re"</f>
        <v>Institute of Food Re</v>
      </c>
      <c r="G1171" t="str">
        <f>"arzinbooks"</f>
        <v>arzinbooks</v>
      </c>
    </row>
    <row r="1172" spans="1:7" x14ac:dyDescent="0.25">
      <c r="A1172" t="str">
        <f>"Mcgraw-Hill'S Sat Subject Test:Chemistry"</f>
        <v>Mcgraw-Hill'S Sat Subject Test:Chemistry</v>
      </c>
      <c r="B1172" t="str">
        <f>"9780071455022"</f>
        <v>9780071455022</v>
      </c>
      <c r="C1172">
        <v>8.9700000000000006</v>
      </c>
      <c r="D1172" t="str">
        <f>"USD"</f>
        <v>USD</v>
      </c>
      <c r="E1172" t="str">
        <f>"2006"</f>
        <v>2006</v>
      </c>
      <c r="F1172" t="str">
        <f>"Evangelist"</f>
        <v>Evangelist</v>
      </c>
      <c r="G1172" t="str">
        <f>"safirketab"</f>
        <v>safirketab</v>
      </c>
    </row>
    <row r="1173" spans="1:7" x14ac:dyDescent="0.25">
      <c r="A1173" t="str">
        <f>"Meaningful Scents Around the World"</f>
        <v>Meaningful Scents Around the World</v>
      </c>
      <c r="B1173" t="str">
        <f>"9783906390376"</f>
        <v>9783906390376</v>
      </c>
      <c r="C1173">
        <v>93</v>
      </c>
      <c r="D1173" t="str">
        <f>"USD"</f>
        <v>USD</v>
      </c>
      <c r="E1173" t="str">
        <f>"2006"</f>
        <v>2006</v>
      </c>
      <c r="F1173" t="str">
        <f>"Kaiser-Chemistry"</f>
        <v>Kaiser-Chemistry</v>
      </c>
      <c r="G1173" t="str">
        <f>"safirketab"</f>
        <v>safirketab</v>
      </c>
    </row>
    <row r="1174" spans="1:7" x14ac:dyDescent="0.25">
      <c r="A1174" t="str">
        <f>"Measurement of Antioxidant Activity and Capacity: Recent Trends and Applications"</f>
        <v>Measurement of Antioxidant Activity and Capacity: Recent Trends and Applications</v>
      </c>
      <c r="B1174" t="str">
        <f>"9781119135357"</f>
        <v>9781119135357</v>
      </c>
      <c r="C1174">
        <v>171</v>
      </c>
      <c r="D1174" t="str">
        <f>"USD"</f>
        <v>USD</v>
      </c>
      <c r="E1174" t="str">
        <f>"2018"</f>
        <v>2018</v>
      </c>
      <c r="F1174" t="str">
        <f>"Apak"</f>
        <v>Apak</v>
      </c>
      <c r="G1174" t="str">
        <f>"avanddanesh"</f>
        <v>avanddanesh</v>
      </c>
    </row>
    <row r="1175" spans="1:7" x14ac:dyDescent="0.25">
      <c r="A1175" t="str">
        <f>"Measuring Biological Impacts of Nanomaterials"</f>
        <v>Measuring Biological Impacts of Nanomaterials</v>
      </c>
      <c r="B1175" t="str">
        <f>"9783319248219"</f>
        <v>9783319248219</v>
      </c>
      <c r="C1175">
        <v>224.99</v>
      </c>
      <c r="D1175" t="str">
        <f>"EUR"</f>
        <v>EUR</v>
      </c>
      <c r="E1175" t="str">
        <f>"2016"</f>
        <v>2016</v>
      </c>
      <c r="F1175" t="str">
        <f>"Wegener"</f>
        <v>Wegener</v>
      </c>
      <c r="G1175" t="str">
        <f>"negarestanabi"</f>
        <v>negarestanabi</v>
      </c>
    </row>
    <row r="1176" spans="1:7" x14ac:dyDescent="0.25">
      <c r="A1176" t="str">
        <f>"Meat Inspection and Control in the Slaughterhouse"</f>
        <v>Meat Inspection and Control in the Slaughterhouse</v>
      </c>
      <c r="B1176" t="str">
        <f>"9781118525869"</f>
        <v>9781118525869</v>
      </c>
      <c r="C1176">
        <v>146.30000000000001</v>
      </c>
      <c r="D1176" t="str">
        <f t="shared" ref="D1176:D1181" si="78">"USD"</f>
        <v>USD</v>
      </c>
      <c r="E1176" t="str">
        <f>"2014"</f>
        <v>2014</v>
      </c>
      <c r="F1176" t="str">
        <f>"Ninios"</f>
        <v>Ninios</v>
      </c>
      <c r="G1176" t="str">
        <f>"avanddanesh"</f>
        <v>avanddanesh</v>
      </c>
    </row>
    <row r="1177" spans="1:7" x14ac:dyDescent="0.25">
      <c r="A1177" t="str">
        <f>"Mechanics of Flow-Induced Sound and Vibration, Volume 1, General Concepts and Elementary Sources, 2nd Edition"</f>
        <v>Mechanics of Flow-Induced Sound and Vibration, Volume 1, General Concepts and Elementary Sources, 2nd Edition</v>
      </c>
      <c r="B1177" t="str">
        <f>"9780128092736"</f>
        <v>9780128092736</v>
      </c>
      <c r="C1177">
        <v>108</v>
      </c>
      <c r="D1177" t="str">
        <f t="shared" si="78"/>
        <v>USD</v>
      </c>
      <c r="E1177" t="str">
        <f>"2017"</f>
        <v>2017</v>
      </c>
      <c r="F1177" t="str">
        <f>"Blake"</f>
        <v>Blake</v>
      </c>
      <c r="G1177" t="str">
        <f>"dehkadehketab"</f>
        <v>dehkadehketab</v>
      </c>
    </row>
    <row r="1178" spans="1:7" x14ac:dyDescent="0.25">
      <c r="A1178" t="str">
        <f>"Mechanics of Flow-Induced Sound and Vibration, Volume 2, Complex Flow-Structure Interactions, 2nd Edition"</f>
        <v>Mechanics of Flow-Induced Sound and Vibration, Volume 2, Complex Flow-Structure Interactions, 2nd Edition</v>
      </c>
      <c r="B1178" t="str">
        <f>"9780128092743"</f>
        <v>9780128092743</v>
      </c>
      <c r="C1178">
        <v>144</v>
      </c>
      <c r="D1178" t="str">
        <f t="shared" si="78"/>
        <v>USD</v>
      </c>
      <c r="E1178" t="str">
        <f>"2017"</f>
        <v>2017</v>
      </c>
      <c r="F1178" t="str">
        <f>"Blake"</f>
        <v>Blake</v>
      </c>
      <c r="G1178" t="str">
        <f>"dehkadehketab"</f>
        <v>dehkadehketab</v>
      </c>
    </row>
    <row r="1179" spans="1:7" x14ac:dyDescent="0.25">
      <c r="A1179" t="str">
        <f>"Medical Biochemistry"</f>
        <v>Medical Biochemistry</v>
      </c>
      <c r="B1179" t="str">
        <f>"9780128035498"</f>
        <v>9780128035498</v>
      </c>
      <c r="C1179">
        <v>108</v>
      </c>
      <c r="D1179" t="str">
        <f t="shared" si="78"/>
        <v>USD</v>
      </c>
      <c r="E1179" t="str">
        <f>"2017"</f>
        <v>2017</v>
      </c>
      <c r="F1179" t="str">
        <f>"Blanco and Blanco"</f>
        <v>Blanco and Blanco</v>
      </c>
      <c r="G1179" t="str">
        <f>"dehkadehketab"</f>
        <v>dehkadehketab</v>
      </c>
    </row>
    <row r="1180" spans="1:7" x14ac:dyDescent="0.25">
      <c r="A1180" t="str">
        <f>"Medical Imaging Based on Magnetic Fields and Ultrasounds"</f>
        <v>Medical Imaging Based on Magnetic Fields and Ultrasounds</v>
      </c>
      <c r="B1180" t="str">
        <f>"9781848215023"</f>
        <v>9781848215023</v>
      </c>
      <c r="C1180">
        <v>116.3</v>
      </c>
      <c r="D1180" t="str">
        <f t="shared" si="78"/>
        <v>USD</v>
      </c>
      <c r="E1180" t="str">
        <f>"2014"</f>
        <v>2014</v>
      </c>
      <c r="F1180" t="str">
        <f>"Fanet"</f>
        <v>Fanet</v>
      </c>
      <c r="G1180" t="str">
        <f>"avanddanesh"</f>
        <v>avanddanesh</v>
      </c>
    </row>
    <row r="1181" spans="1:7" x14ac:dyDescent="0.25">
      <c r="A1181" t="str">
        <f>"Medicinal Chemistry for Organic Chemists"</f>
        <v>Medicinal Chemistry for Organic Chemists</v>
      </c>
      <c r="B1181" t="str">
        <f>"9780123983879"</f>
        <v>9780123983879</v>
      </c>
      <c r="C1181">
        <v>80.95</v>
      </c>
      <c r="D1181" t="str">
        <f t="shared" si="78"/>
        <v>USD</v>
      </c>
      <c r="E1181" t="str">
        <f>"2017"</f>
        <v>2017</v>
      </c>
      <c r="F1181" t="str">
        <f>"Aube"</f>
        <v>Aube</v>
      </c>
      <c r="G1181" t="str">
        <f>"dehkadehketab"</f>
        <v>dehkadehketab</v>
      </c>
    </row>
    <row r="1182" spans="1:7" x14ac:dyDescent="0.25">
      <c r="A1182" t="str">
        <f>"Membrane Biophysics: New Insights and Methods"</f>
        <v>Membrane Biophysics: New Insights and Methods</v>
      </c>
      <c r="B1182" t="str">
        <f>"9789811068225"</f>
        <v>9789811068225</v>
      </c>
      <c r="C1182">
        <v>134.99</v>
      </c>
      <c r="D1182" t="str">
        <f>"EUR"</f>
        <v>EUR</v>
      </c>
      <c r="E1182" t="str">
        <f>"2018"</f>
        <v>2018</v>
      </c>
      <c r="F1182" t="str">
        <f>"Wang"</f>
        <v>Wang</v>
      </c>
      <c r="G1182" t="str">
        <f>"negarestanabi"</f>
        <v>negarestanabi</v>
      </c>
    </row>
    <row r="1183" spans="1:7" x14ac:dyDescent="0.25">
      <c r="A1183" t="str">
        <f>"Membrane Characterization"</f>
        <v>Membrane Characterization</v>
      </c>
      <c r="B1183" t="str">
        <f>"9780444637741"</f>
        <v>9780444637741</v>
      </c>
      <c r="C1183">
        <v>193.5</v>
      </c>
      <c r="D1183" t="str">
        <f t="shared" ref="D1183:D1200" si="79">"USD"</f>
        <v>USD</v>
      </c>
      <c r="E1183" t="str">
        <f>"2017"</f>
        <v>2017</v>
      </c>
      <c r="F1183" t="str">
        <f>"Hilal et al"</f>
        <v>Hilal et al</v>
      </c>
      <c r="G1183" t="str">
        <f>"dehkadehketab"</f>
        <v>dehkadehketab</v>
      </c>
    </row>
    <row r="1184" spans="1:7" x14ac:dyDescent="0.25">
      <c r="A1184" t="str">
        <f>"Membrane Lipidomics for Personalized Health"</f>
        <v>Membrane Lipidomics for Personalized Health</v>
      </c>
      <c r="B1184" t="str">
        <f>"9781118540329"</f>
        <v>9781118540329</v>
      </c>
      <c r="C1184">
        <v>30</v>
      </c>
      <c r="D1184" t="str">
        <f t="shared" si="79"/>
        <v>USD</v>
      </c>
      <c r="E1184" t="str">
        <f>"2015"</f>
        <v>2015</v>
      </c>
      <c r="F1184" t="str">
        <f>"Ferreri"</f>
        <v>Ferreri</v>
      </c>
      <c r="G1184" t="str">
        <f>"avanddanesh"</f>
        <v>avanddanesh</v>
      </c>
    </row>
    <row r="1185" spans="1:7" x14ac:dyDescent="0.25">
      <c r="A1185" t="str">
        <f>"Membrane Reactor Engineering: Applications for a greener process industry"</f>
        <v>Membrane Reactor Engineering: Applications for a greener process industry</v>
      </c>
      <c r="B1185" t="str">
        <f>"9781118906804"</f>
        <v>9781118906804</v>
      </c>
      <c r="C1185">
        <v>119</v>
      </c>
      <c r="D1185" t="str">
        <f t="shared" si="79"/>
        <v>USD</v>
      </c>
      <c r="E1185" t="str">
        <f>"2016"</f>
        <v>2016</v>
      </c>
      <c r="F1185" t="str">
        <f>"Basile"</f>
        <v>Basile</v>
      </c>
      <c r="G1185" t="str">
        <f>"avanddanesh"</f>
        <v>avanddanesh</v>
      </c>
    </row>
    <row r="1186" spans="1:7" x14ac:dyDescent="0.25">
      <c r="A1186" t="str">
        <f>"Membrane Separation Processes, 2/ed"</f>
        <v>Membrane Separation Processes, 2/ed</v>
      </c>
      <c r="B1186" t="str">
        <f>"9788120352919"</f>
        <v>9788120352919</v>
      </c>
      <c r="C1186">
        <v>10.66</v>
      </c>
      <c r="D1186" t="str">
        <f t="shared" si="79"/>
        <v>USD</v>
      </c>
      <c r="E1186" t="str">
        <f>"2016"</f>
        <v>2016</v>
      </c>
      <c r="F1186" t="str">
        <f>"Nath"</f>
        <v>Nath</v>
      </c>
      <c r="G1186" t="str">
        <f>"negarestanabi"</f>
        <v>negarestanabi</v>
      </c>
    </row>
    <row r="1187" spans="1:7" x14ac:dyDescent="0.25">
      <c r="A1187" t="str">
        <f>"Membrane Seperation Process: Basic Concepts, 2/e"</f>
        <v>Membrane Seperation Process: Basic Concepts, 2/e</v>
      </c>
      <c r="B1187" t="str">
        <f>"9788120352919"</f>
        <v>9788120352919</v>
      </c>
      <c r="C1187">
        <v>10.199999999999999</v>
      </c>
      <c r="D1187" t="str">
        <f t="shared" si="79"/>
        <v>USD</v>
      </c>
      <c r="E1187" t="str">
        <f>"2016"</f>
        <v>2016</v>
      </c>
      <c r="F1187" t="str">
        <f>"Nath"</f>
        <v>Nath</v>
      </c>
      <c r="G1187" t="str">
        <f>"safirketab"</f>
        <v>safirketab</v>
      </c>
    </row>
    <row r="1188" spans="1:7" x14ac:dyDescent="0.25">
      <c r="A1188" t="str">
        <f>"Membrane Seperation Process: Basic Concepts, 2/e"</f>
        <v>Membrane Seperation Process: Basic Concepts, 2/e</v>
      </c>
      <c r="B1188" t="str">
        <f>"9788120352919"</f>
        <v>9788120352919</v>
      </c>
      <c r="C1188">
        <v>10.199999999999999</v>
      </c>
      <c r="D1188" t="str">
        <f t="shared" si="79"/>
        <v>USD</v>
      </c>
      <c r="E1188" t="str">
        <f>"2016"</f>
        <v>2016</v>
      </c>
      <c r="F1188" t="str">
        <f>"Nath"</f>
        <v>Nath</v>
      </c>
      <c r="G1188" t="str">
        <f>"jahanadib"</f>
        <v>jahanadib</v>
      </c>
    </row>
    <row r="1189" spans="1:7" x14ac:dyDescent="0.25">
      <c r="A1189" t="str">
        <f>"Mercury Control: for Coal-Derived Gas Streams"</f>
        <v>Mercury Control: for Coal-Derived Gas Streams</v>
      </c>
      <c r="B1189" t="str">
        <f>"9783527329496"</f>
        <v>9783527329496</v>
      </c>
      <c r="C1189">
        <v>135.80000000000001</v>
      </c>
      <c r="D1189" t="str">
        <f t="shared" si="79"/>
        <v>USD</v>
      </c>
      <c r="E1189" t="str">
        <f>"2014"</f>
        <v>2014</v>
      </c>
      <c r="F1189" t="str">
        <f>"Granite"</f>
        <v>Granite</v>
      </c>
      <c r="G1189" t="str">
        <f>"avanddanesh"</f>
        <v>avanddanesh</v>
      </c>
    </row>
    <row r="1190" spans="1:7" x14ac:dyDescent="0.25">
      <c r="A1190" t="str">
        <f>"Metabolite Safety in Drug Development"</f>
        <v>Metabolite Safety in Drug Development</v>
      </c>
      <c r="B1190" t="str">
        <f>"9781118949658"</f>
        <v>9781118949658</v>
      </c>
      <c r="C1190">
        <v>165.8</v>
      </c>
      <c r="D1190" t="str">
        <f t="shared" si="79"/>
        <v>USD</v>
      </c>
      <c r="E1190" t="str">
        <f>"2016"</f>
        <v>2016</v>
      </c>
      <c r="F1190" t="str">
        <f>"Iverson"</f>
        <v>Iverson</v>
      </c>
      <c r="G1190" t="str">
        <f>"avanddanesh"</f>
        <v>avanddanesh</v>
      </c>
    </row>
    <row r="1191" spans="1:7" x14ac:dyDescent="0.25">
      <c r="A1191" t="str">
        <f>"Metal Amide Chemistry"</f>
        <v>Metal Amide Chemistry</v>
      </c>
      <c r="B1191" t="str">
        <f>"9780470721841"</f>
        <v>9780470721841</v>
      </c>
      <c r="C1191">
        <v>105</v>
      </c>
      <c r="D1191" t="str">
        <f t="shared" si="79"/>
        <v>USD</v>
      </c>
      <c r="E1191" t="str">
        <f>"2009"</f>
        <v>2009</v>
      </c>
      <c r="F1191" t="str">
        <f>"Lappert"</f>
        <v>Lappert</v>
      </c>
      <c r="G1191" t="str">
        <f>"safirketab"</f>
        <v>safirketab</v>
      </c>
    </row>
    <row r="1192" spans="1:7" x14ac:dyDescent="0.25">
      <c r="A1192" t="str">
        <f>"Metal Catalyzed Cross-Coupling Reactions and More, 3V Set"</f>
        <v>Metal Catalyzed Cross-Coupling Reactions and More, 3V Set</v>
      </c>
      <c r="B1192" t="str">
        <f>"9783527331543"</f>
        <v>9783527331543</v>
      </c>
      <c r="C1192">
        <v>476.3</v>
      </c>
      <c r="D1192" t="str">
        <f t="shared" si="79"/>
        <v>USD</v>
      </c>
      <c r="E1192" t="str">
        <f>"2014"</f>
        <v>2014</v>
      </c>
      <c r="F1192" t="str">
        <f>"de Meijere"</f>
        <v>de Meijere</v>
      </c>
      <c r="G1192" t="str">
        <f>"avanddanesh"</f>
        <v>avanddanesh</v>
      </c>
    </row>
    <row r="1193" spans="1:7" x14ac:dyDescent="0.25">
      <c r="A1193" t="str">
        <f>"Metal Ions in Life Sciences, 4V Set"</f>
        <v>Metal Ions in Life Sciences, 4V Set</v>
      </c>
      <c r="B1193" t="str">
        <f>"9780470513248"</f>
        <v>9780470513248</v>
      </c>
      <c r="C1193">
        <v>464</v>
      </c>
      <c r="D1193" t="str">
        <f t="shared" si="79"/>
        <v>USD</v>
      </c>
      <c r="E1193" t="str">
        <f>"2007"</f>
        <v>2007</v>
      </c>
      <c r="F1193" t="str">
        <f>"Sigel"</f>
        <v>Sigel</v>
      </c>
      <c r="G1193" t="str">
        <f>"avanddanesh"</f>
        <v>avanddanesh</v>
      </c>
    </row>
    <row r="1194" spans="1:7" x14ac:dyDescent="0.25">
      <c r="A1194" t="str">
        <f>"Metal Nanopowders: Production, Characterization, Applications and Safety"</f>
        <v>Metal Nanopowders: Production, Characterization, Applications and Safety</v>
      </c>
      <c r="B1194" t="str">
        <f>"9783527333615"</f>
        <v>9783527333615</v>
      </c>
      <c r="C1194">
        <v>147</v>
      </c>
      <c r="D1194" t="str">
        <f t="shared" si="79"/>
        <v>USD</v>
      </c>
      <c r="E1194" t="str">
        <f>"2014"</f>
        <v>2014</v>
      </c>
      <c r="F1194" t="str">
        <f>"Gromov"</f>
        <v>Gromov</v>
      </c>
      <c r="G1194" t="str">
        <f>"avanddanesh"</f>
        <v>avanddanesh</v>
      </c>
    </row>
    <row r="1195" spans="1:7" x14ac:dyDescent="0.25">
      <c r="A1195" t="str">
        <f>"Metal Sustainability: Global Challenges, Consequences, and Prospects"</f>
        <v>Metal Sustainability: Global Challenges, Consequences, and Prospects</v>
      </c>
      <c r="B1195" t="str">
        <f>"9781119009108"</f>
        <v>9781119009108</v>
      </c>
      <c r="C1195">
        <v>123.3</v>
      </c>
      <c r="D1195" t="str">
        <f t="shared" si="79"/>
        <v>USD</v>
      </c>
      <c r="E1195" t="str">
        <f>"2016"</f>
        <v>2016</v>
      </c>
      <c r="F1195" t="str">
        <f>"Izatt"</f>
        <v>Izatt</v>
      </c>
      <c r="G1195" t="str">
        <f>"avanddanesh"</f>
        <v>avanddanesh</v>
      </c>
    </row>
    <row r="1196" spans="1:7" x14ac:dyDescent="0.25">
      <c r="A1196" t="str">
        <f>"Metal Vinylidenes and Allenylidenes in Catalysis: From Reactivity to Applications in Synthesis"</f>
        <v>Metal Vinylidenes and Allenylidenes in Catalysis: From Reactivity to Applications in Synthesis</v>
      </c>
      <c r="B1196" t="str">
        <f>"9783527318926"</f>
        <v>9783527318926</v>
      </c>
      <c r="C1196">
        <v>106.4</v>
      </c>
      <c r="D1196" t="str">
        <f t="shared" si="79"/>
        <v>USD</v>
      </c>
      <c r="E1196" t="str">
        <f>"2008"</f>
        <v>2008</v>
      </c>
      <c r="F1196" t="str">
        <f>"Bruneau"</f>
        <v>Bruneau</v>
      </c>
      <c r="G1196" t="str">
        <f>"avanddanesh"</f>
        <v>avanddanesh</v>
      </c>
    </row>
    <row r="1197" spans="1:7" x14ac:dyDescent="0.25">
      <c r="A1197" t="str">
        <f>"Metal-based Neurodegeneration: From Molecular Mechanisms to Therapeutic Strategies"</f>
        <v>Metal-based Neurodegeneration: From Molecular Mechanisms to Therapeutic Strategies</v>
      </c>
      <c r="B1197" t="str">
        <f>"9780470022559"</f>
        <v>9780470022559</v>
      </c>
      <c r="C1197">
        <v>108</v>
      </c>
      <c r="D1197" t="str">
        <f t="shared" si="79"/>
        <v>USD</v>
      </c>
      <c r="E1197" t="str">
        <f>"2006"</f>
        <v>2006</v>
      </c>
      <c r="F1197" t="str">
        <f>"Neuroscience"</f>
        <v>Neuroscience</v>
      </c>
      <c r="G1197" t="str">
        <f>"safirketab"</f>
        <v>safirketab</v>
      </c>
    </row>
    <row r="1198" spans="1:7" x14ac:dyDescent="0.25">
      <c r="A1198" t="str">
        <f>"Metal-Catalyzed Reactions in Water"</f>
        <v>Metal-Catalyzed Reactions in Water</v>
      </c>
      <c r="B1198" t="str">
        <f>"9783527331888"</f>
        <v>9783527331888</v>
      </c>
      <c r="C1198">
        <v>141.1</v>
      </c>
      <c r="D1198" t="str">
        <f t="shared" si="79"/>
        <v>USD</v>
      </c>
      <c r="E1198" t="str">
        <f>"2013"</f>
        <v>2013</v>
      </c>
      <c r="F1198" t="str">
        <f>"Dixneuf"</f>
        <v>Dixneuf</v>
      </c>
      <c r="G1198" t="str">
        <f>"avanddanesh"</f>
        <v>avanddanesh</v>
      </c>
    </row>
    <row r="1199" spans="1:7" x14ac:dyDescent="0.25">
      <c r="A1199" t="str">
        <f>"Metal-Enhanced Fluorescence"</f>
        <v>Metal-Enhanced Fluorescence</v>
      </c>
      <c r="B1199" t="str">
        <f>"9780470228388"</f>
        <v>9780470228388</v>
      </c>
      <c r="C1199">
        <v>65.2</v>
      </c>
      <c r="D1199" t="str">
        <f t="shared" si="79"/>
        <v>USD</v>
      </c>
      <c r="E1199" t="str">
        <f>"2010"</f>
        <v>2010</v>
      </c>
      <c r="F1199" t="str">
        <f>"Geddes"</f>
        <v>Geddes</v>
      </c>
      <c r="G1199" t="str">
        <f>"safirketab"</f>
        <v>safirketab</v>
      </c>
    </row>
    <row r="1200" spans="1:7" x14ac:dyDescent="0.25">
      <c r="A1200" t="str">
        <f>"Metal-Enhanced Fluorescence"</f>
        <v>Metal-Enhanced Fluorescence</v>
      </c>
      <c r="B1200" t="str">
        <f>"9780470228388"</f>
        <v>9780470228388</v>
      </c>
      <c r="C1200">
        <v>65.2</v>
      </c>
      <c r="D1200" t="str">
        <f t="shared" si="79"/>
        <v>USD</v>
      </c>
      <c r="E1200" t="str">
        <f>"2010"</f>
        <v>2010</v>
      </c>
      <c r="F1200" t="str">
        <f>"Geddes"</f>
        <v>Geddes</v>
      </c>
      <c r="G1200" t="str">
        <f>"avanddanesh"</f>
        <v>avanddanesh</v>
      </c>
    </row>
    <row r="1201" spans="1:7" x14ac:dyDescent="0.25">
      <c r="A1201" t="str">
        <f>"Metallomics :A Primer of Integrated Biometal Sciences"</f>
        <v>Metallomics :A Primer of Integrated Biometal Sciences</v>
      </c>
      <c r="B1201" t="str">
        <f>"9781783268283"</f>
        <v>9781783268283</v>
      </c>
      <c r="C1201">
        <v>25.5</v>
      </c>
      <c r="D1201" t="str">
        <f>"GBP"</f>
        <v>GBP</v>
      </c>
      <c r="E1201" t="str">
        <f>"2016"</f>
        <v>2016</v>
      </c>
      <c r="F1201" t="str">
        <f>"wolfgang Maret"</f>
        <v>wolfgang Maret</v>
      </c>
      <c r="G1201" t="str">
        <f>"AsarBartar"</f>
        <v>AsarBartar</v>
      </c>
    </row>
    <row r="1202" spans="1:7" x14ac:dyDescent="0.25">
      <c r="A1202" t="str">
        <f>"Metallomics: Analytical Techniques and Speciation Methods"</f>
        <v>Metallomics: Analytical Techniques and Speciation Methods</v>
      </c>
      <c r="B1202" t="str">
        <f>"9783527339693"</f>
        <v>9783527339693</v>
      </c>
      <c r="C1202">
        <v>148.80000000000001</v>
      </c>
      <c r="D1202" t="str">
        <f t="shared" ref="D1202:D1225" si="80">"USD"</f>
        <v>USD</v>
      </c>
      <c r="E1202" t="str">
        <f>"2016"</f>
        <v>2016</v>
      </c>
      <c r="F1202" t="str">
        <f>"Michalke"</f>
        <v>Michalke</v>
      </c>
      <c r="G1202" t="str">
        <f t="shared" ref="G1202:G1208" si="81">"avanddanesh"</f>
        <v>avanddanesh</v>
      </c>
    </row>
    <row r="1203" spans="1:7" x14ac:dyDescent="0.25">
      <c r="A1203" t="str">
        <f>"Metalloprotein Active Site Assembly"</f>
        <v>Metalloprotein Active Site Assembly</v>
      </c>
      <c r="B1203" t="str">
        <f>"9781119159834"</f>
        <v>9781119159834</v>
      </c>
      <c r="C1203">
        <v>171</v>
      </c>
      <c r="D1203" t="str">
        <f t="shared" si="80"/>
        <v>USD</v>
      </c>
      <c r="E1203" t="str">
        <f>"2017"</f>
        <v>2017</v>
      </c>
      <c r="F1203" t="str">
        <f>"Johnson"</f>
        <v>Johnson</v>
      </c>
      <c r="G1203" t="str">
        <f t="shared" si="81"/>
        <v>avanddanesh</v>
      </c>
    </row>
    <row r="1204" spans="1:7" x14ac:dyDescent="0.25">
      <c r="A1204" t="str">
        <f>"Metalloproteomics"</f>
        <v>Metalloproteomics</v>
      </c>
      <c r="B1204" t="str">
        <f>"9780470392485"</f>
        <v>9780470392485</v>
      </c>
      <c r="C1204">
        <v>63.2</v>
      </c>
      <c r="D1204" t="str">
        <f t="shared" si="80"/>
        <v>USD</v>
      </c>
      <c r="E1204" t="str">
        <f>"2009"</f>
        <v>2009</v>
      </c>
      <c r="F1204" t="str">
        <f>"Permyakov"</f>
        <v>Permyakov</v>
      </c>
      <c r="G1204" t="str">
        <f t="shared" si="81"/>
        <v>avanddanesh</v>
      </c>
    </row>
    <row r="1205" spans="1:7" x14ac:dyDescent="0.25">
      <c r="A1205" t="str">
        <f>"Metal-Organic Framework Materials"</f>
        <v>Metal-Organic Framework Materials</v>
      </c>
      <c r="B1205" t="str">
        <f>"9781119952893"</f>
        <v>9781119952893</v>
      </c>
      <c r="C1205">
        <v>138.80000000000001</v>
      </c>
      <c r="D1205" t="str">
        <f t="shared" si="80"/>
        <v>USD</v>
      </c>
      <c r="E1205" t="str">
        <f>"2014"</f>
        <v>2014</v>
      </c>
      <c r="F1205" t="str">
        <f>"MacGillivray"</f>
        <v>MacGillivray</v>
      </c>
      <c r="G1205" t="str">
        <f t="shared" si="81"/>
        <v>avanddanesh</v>
      </c>
    </row>
    <row r="1206" spans="1:7" x14ac:dyDescent="0.25">
      <c r="A1206" t="str">
        <f>"Metals in Cells"</f>
        <v>Metals in Cells</v>
      </c>
      <c r="B1206" t="str">
        <f>"9781119953234"</f>
        <v>9781119953234</v>
      </c>
      <c r="C1206">
        <v>130</v>
      </c>
      <c r="D1206" t="str">
        <f t="shared" si="80"/>
        <v>USD</v>
      </c>
      <c r="E1206" t="str">
        <f>"2013"</f>
        <v>2013</v>
      </c>
      <c r="F1206" t="str">
        <f>"Culotta"</f>
        <v>Culotta</v>
      </c>
      <c r="G1206" t="str">
        <f t="shared" si="81"/>
        <v>avanddanesh</v>
      </c>
    </row>
    <row r="1207" spans="1:7" x14ac:dyDescent="0.25">
      <c r="A1207" t="str">
        <f>"Metals in Medicine,2e"</f>
        <v>Metals in Medicine,2e</v>
      </c>
      <c r="B1207" t="str">
        <f>"9781119191308"</f>
        <v>9781119191308</v>
      </c>
      <c r="C1207">
        <v>76.5</v>
      </c>
      <c r="D1207" t="str">
        <f t="shared" si="80"/>
        <v>USD</v>
      </c>
      <c r="E1207" t="str">
        <f>"2017"</f>
        <v>2017</v>
      </c>
      <c r="F1207" t="str">
        <f>"Dabrowiak"</f>
        <v>Dabrowiak</v>
      </c>
      <c r="G1207" t="str">
        <f t="shared" si="81"/>
        <v>avanddanesh</v>
      </c>
    </row>
    <row r="1208" spans="1:7" x14ac:dyDescent="0.25">
      <c r="A1208" t="str">
        <f>"Metathesis in Natural Product Synthesis: Strategies, Substrates and Catalysts"</f>
        <v>Metathesis in Natural Product Synthesis: Strategies, Substrates and Catalysts</v>
      </c>
      <c r="B1208" t="str">
        <f>"9783527324408"</f>
        <v>9783527324408</v>
      </c>
      <c r="C1208">
        <v>87.6</v>
      </c>
      <c r="D1208" t="str">
        <f t="shared" si="80"/>
        <v>USD</v>
      </c>
      <c r="E1208" t="str">
        <f>"2010"</f>
        <v>2010</v>
      </c>
      <c r="F1208" t="str">
        <f>"Cossy"</f>
        <v>Cossy</v>
      </c>
      <c r="G1208" t="str">
        <f t="shared" si="81"/>
        <v>avanddanesh</v>
      </c>
    </row>
    <row r="1209" spans="1:7" x14ac:dyDescent="0.25">
      <c r="A1209" t="str">
        <f>"Methanol, Science and Engineering"</f>
        <v>Methanol, Science and Engineering</v>
      </c>
      <c r="B1209" t="str">
        <f>"9780444638977"</f>
        <v>9780444638977</v>
      </c>
      <c r="C1209">
        <v>193.5</v>
      </c>
      <c r="D1209" t="str">
        <f t="shared" si="80"/>
        <v>USD</v>
      </c>
      <c r="E1209" t="str">
        <f>"2017"</f>
        <v>2017</v>
      </c>
      <c r="F1209" t="str">
        <f>"Basile and Dalena"</f>
        <v>Basile and Dalena</v>
      </c>
      <c r="G1209" t="str">
        <f>"dehkadehketab"</f>
        <v>dehkadehketab</v>
      </c>
    </row>
    <row r="1210" spans="1:7" x14ac:dyDescent="0.25">
      <c r="A1210" t="str">
        <f>"Method of Lines PDE Analysis in Biomedical Science and Engineering"</f>
        <v>Method of Lines PDE Analysis in Biomedical Science and Engineering</v>
      </c>
      <c r="B1210" t="str">
        <f>"9781119130482"</f>
        <v>9781119130482</v>
      </c>
      <c r="C1210">
        <v>97.8</v>
      </c>
      <c r="D1210" t="str">
        <f t="shared" si="80"/>
        <v>USD</v>
      </c>
      <c r="E1210" t="str">
        <f>"2016"</f>
        <v>2016</v>
      </c>
      <c r="F1210" t="str">
        <f>"Schiesser"</f>
        <v>Schiesser</v>
      </c>
      <c r="G1210" t="str">
        <f>"avanddanesh"</f>
        <v>avanddanesh</v>
      </c>
    </row>
    <row r="1211" spans="1:7" x14ac:dyDescent="0.25">
      <c r="A1211" t="str">
        <f>"Method Validation in Pharmaceutical Analysis,2e A Guide to Best Practice"</f>
        <v>Method Validation in Pharmaceutical Analysis,2e A Guide to Best Practice</v>
      </c>
      <c r="B1211" t="str">
        <f>"9783527335633"</f>
        <v>9783527335633</v>
      </c>
      <c r="C1211">
        <v>159</v>
      </c>
      <c r="D1211" t="str">
        <f t="shared" si="80"/>
        <v>USD</v>
      </c>
      <c r="E1211" t="str">
        <f>"2014"</f>
        <v>2014</v>
      </c>
      <c r="F1211" t="str">
        <f>"Ermer"</f>
        <v>Ermer</v>
      </c>
      <c r="G1211" t="str">
        <f>"avanddanesh"</f>
        <v>avanddanesh</v>
      </c>
    </row>
    <row r="1212" spans="1:7" x14ac:dyDescent="0.25">
      <c r="A1212" t="str">
        <f>"Methods of Molecular Quantum Mechanics: An Introduction to Electronic Molecular Structure"</f>
        <v>Methods of Molecular Quantum Mechanics: An Introduction to Electronic Molecular Structure</v>
      </c>
      <c r="B1212" t="str">
        <f>"9780470684429"</f>
        <v>9780470684429</v>
      </c>
      <c r="C1212">
        <v>56</v>
      </c>
      <c r="D1212" t="str">
        <f t="shared" si="80"/>
        <v>USD</v>
      </c>
      <c r="E1212" t="str">
        <f>"2009"</f>
        <v>2009</v>
      </c>
      <c r="F1212" t="str">
        <f>"Magnasco"</f>
        <v>Magnasco</v>
      </c>
      <c r="G1212" t="str">
        <f>"avanddanesh"</f>
        <v>avanddanesh</v>
      </c>
    </row>
    <row r="1213" spans="1:7" x14ac:dyDescent="0.25">
      <c r="A1213" t="str">
        <f>"Microbiology of Aerosols"</f>
        <v>Microbiology of Aerosols</v>
      </c>
      <c r="B1213" t="str">
        <f>"9781119132288"</f>
        <v>9781119132288</v>
      </c>
      <c r="C1213">
        <v>162</v>
      </c>
      <c r="D1213" t="str">
        <f t="shared" si="80"/>
        <v>USD</v>
      </c>
      <c r="E1213" t="str">
        <f>"2017"</f>
        <v>2017</v>
      </c>
      <c r="F1213" t="str">
        <f>"Delort"</f>
        <v>Delort</v>
      </c>
      <c r="G1213" t="str">
        <f>"avanddanesh"</f>
        <v>avanddanesh</v>
      </c>
    </row>
    <row r="1214" spans="1:7" x14ac:dyDescent="0.25">
      <c r="A1214" t="str">
        <f>"Microbiology of Anaerobic Digesters"</f>
        <v>Microbiology of Anaerobic Digesters</v>
      </c>
      <c r="B1214" t="str">
        <f>"9780471206934"</f>
        <v>9780471206934</v>
      </c>
      <c r="C1214">
        <v>39</v>
      </c>
      <c r="D1214" t="str">
        <f t="shared" si="80"/>
        <v>USD</v>
      </c>
      <c r="E1214" t="str">
        <f>"2003"</f>
        <v>2003</v>
      </c>
      <c r="F1214" t="str">
        <f>"Gerardi"</f>
        <v>Gerardi</v>
      </c>
      <c r="G1214" t="str">
        <f>"safirketab"</f>
        <v>safirketab</v>
      </c>
    </row>
    <row r="1215" spans="1:7" x14ac:dyDescent="0.25">
      <c r="A1215" t="str">
        <f>"Microcirculation Imaging"</f>
        <v>Microcirculation Imaging</v>
      </c>
      <c r="B1215" t="str">
        <f>"9783527328949"</f>
        <v>9783527328949</v>
      </c>
      <c r="C1215">
        <v>127.8</v>
      </c>
      <c r="D1215" t="str">
        <f t="shared" si="80"/>
        <v>USD</v>
      </c>
      <c r="E1215" t="str">
        <f>"2012"</f>
        <v>2012</v>
      </c>
      <c r="F1215" t="str">
        <f>"Leahy"</f>
        <v>Leahy</v>
      </c>
      <c r="G1215" t="str">
        <f>"avanddanesh"</f>
        <v>avanddanesh</v>
      </c>
    </row>
    <row r="1216" spans="1:7" x14ac:dyDescent="0.25">
      <c r="A1216" t="str">
        <f>"Microfluidics for Advanced Functional Polymeric Materials"</f>
        <v>Microfluidics for Advanced Functional Polymeric Materials</v>
      </c>
      <c r="B1216" t="str">
        <f>"9783527341825"</f>
        <v>9783527341825</v>
      </c>
      <c r="C1216">
        <v>171</v>
      </c>
      <c r="D1216" t="str">
        <f t="shared" si="80"/>
        <v>USD</v>
      </c>
      <c r="E1216" t="str">
        <f>"2017"</f>
        <v>2017</v>
      </c>
      <c r="F1216" t="str">
        <f>"Chu"</f>
        <v>Chu</v>
      </c>
      <c r="G1216" t="str">
        <f>"avanddanesh"</f>
        <v>avanddanesh</v>
      </c>
    </row>
    <row r="1217" spans="1:7" x14ac:dyDescent="0.25">
      <c r="A1217" t="str">
        <f>"Microfluidics: Fundamentals, Devices, and Applications"</f>
        <v>Microfluidics: Fundamentals, Devices, and Applications</v>
      </c>
      <c r="B1217" t="str">
        <f>"9783527341061"</f>
        <v>9783527341061</v>
      </c>
      <c r="C1217">
        <v>220.5</v>
      </c>
      <c r="D1217" t="str">
        <f t="shared" si="80"/>
        <v>USD</v>
      </c>
      <c r="E1217" t="str">
        <f>"2018"</f>
        <v>2018</v>
      </c>
      <c r="F1217" t="str">
        <f>"Song"</f>
        <v>Song</v>
      </c>
      <c r="G1217" t="str">
        <f>"avanddanesh"</f>
        <v>avanddanesh</v>
      </c>
    </row>
    <row r="1218" spans="1:7" x14ac:dyDescent="0.25">
      <c r="A1218" t="str">
        <f>"Microgel Suspensions: Fundamentals and Applications"</f>
        <v>Microgel Suspensions: Fundamentals and Applications</v>
      </c>
      <c r="B1218" t="str">
        <f>"9783527321582"</f>
        <v>9783527321582</v>
      </c>
      <c r="C1218">
        <v>80.400000000000006</v>
      </c>
      <c r="D1218" t="str">
        <f t="shared" si="80"/>
        <v>USD</v>
      </c>
      <c r="E1218" t="str">
        <f>"2011"</f>
        <v>2011</v>
      </c>
      <c r="F1218" t="str">
        <f>"Fernandez-Nieves"</f>
        <v>Fernandez-Nieves</v>
      </c>
      <c r="G1218" t="str">
        <f>"safirketab"</f>
        <v>safirketab</v>
      </c>
    </row>
    <row r="1219" spans="1:7" x14ac:dyDescent="0.25">
      <c r="A1219" t="str">
        <f>"Microgel Suspensions: Fundamentals and Applications"</f>
        <v>Microgel Suspensions: Fundamentals and Applications</v>
      </c>
      <c r="B1219" t="str">
        <f>"9783527321582"</f>
        <v>9783527321582</v>
      </c>
      <c r="C1219">
        <v>80.400000000000006</v>
      </c>
      <c r="D1219" t="str">
        <f t="shared" si="80"/>
        <v>USD</v>
      </c>
      <c r="E1219" t="str">
        <f>"2011"</f>
        <v>2011</v>
      </c>
      <c r="F1219" t="str">
        <f>"Fernandez-Nieves"</f>
        <v>Fernandez-Nieves</v>
      </c>
      <c r="G1219" t="str">
        <f>"avanddanesh"</f>
        <v>avanddanesh</v>
      </c>
    </row>
    <row r="1220" spans="1:7" x14ac:dyDescent="0.25">
      <c r="A1220" t="str">
        <f>"Micromachining Using Electrochemical Discharge Phenomenon, Fundamentals and Application of Spark Assisted Chemical Engraving, 2nd Edition"</f>
        <v>Micromachining Using Electrochemical Discharge Phenomenon, Fundamentals and Application of Spark Assisted Chemical Engraving, 2nd Edition</v>
      </c>
      <c r="B1220" t="str">
        <f>"9780128103067"</f>
        <v>9780128103067</v>
      </c>
      <c r="C1220">
        <v>189</v>
      </c>
      <c r="D1220" t="str">
        <f t="shared" si="80"/>
        <v>USD</v>
      </c>
      <c r="E1220" t="str">
        <f>"2017"</f>
        <v>2017</v>
      </c>
      <c r="F1220" t="str">
        <f>"Wuthrich and Abou Zi"</f>
        <v>Wuthrich and Abou Zi</v>
      </c>
      <c r="G1220" t="str">
        <f>"dehkadehketab"</f>
        <v>dehkadehketab</v>
      </c>
    </row>
    <row r="1221" spans="1:7" x14ac:dyDescent="0.25">
      <c r="A1221" t="str">
        <f>"Micromechanics of Granular Materials"</f>
        <v>Micromechanics of Granular Materials</v>
      </c>
      <c r="B1221" t="str">
        <f>"9781848210752"</f>
        <v>9781848210752</v>
      </c>
      <c r="C1221">
        <v>101.25</v>
      </c>
      <c r="D1221" t="str">
        <f t="shared" si="80"/>
        <v>USD</v>
      </c>
      <c r="E1221" t="str">
        <f>"2009"</f>
        <v>2009</v>
      </c>
      <c r="F1221" t="str">
        <f>"Cambou"</f>
        <v>Cambou</v>
      </c>
      <c r="G1221" t="str">
        <f>"safirketab"</f>
        <v>safirketab</v>
      </c>
    </row>
    <row r="1222" spans="1:7" x14ac:dyDescent="0.25">
      <c r="A1222" t="str">
        <f>"Microreactors in Organic Chemistry and Catalysis,2e"</f>
        <v>Microreactors in Organic Chemistry and Catalysis,2e</v>
      </c>
      <c r="B1222" t="str">
        <f>"9783527332991"</f>
        <v>9783527332991</v>
      </c>
      <c r="C1222">
        <v>145.6</v>
      </c>
      <c r="D1222" t="str">
        <f t="shared" si="80"/>
        <v>USD</v>
      </c>
      <c r="E1222" t="str">
        <f>"2013"</f>
        <v>2013</v>
      </c>
      <c r="F1222" t="str">
        <f>"Wirth"</f>
        <v>Wirth</v>
      </c>
      <c r="G1222" t="str">
        <f>"avanddanesh"</f>
        <v>avanddanesh</v>
      </c>
    </row>
    <row r="1223" spans="1:7" x14ac:dyDescent="0.25">
      <c r="A1223" t="str">
        <f>"Microscale Organic Laboratory: with Multistep and Multiscale Syntheses,5e"</f>
        <v>Microscale Organic Laboratory: with Multistep and Multiscale Syntheses,5e</v>
      </c>
      <c r="B1223" t="str">
        <f>"9780471215028"</f>
        <v>9780471215028</v>
      </c>
      <c r="C1223">
        <v>21</v>
      </c>
      <c r="D1223" t="str">
        <f t="shared" si="80"/>
        <v>USD</v>
      </c>
      <c r="E1223" t="str">
        <f>"2010"</f>
        <v>2010</v>
      </c>
      <c r="F1223" t="str">
        <f>"Mayo"</f>
        <v>Mayo</v>
      </c>
      <c r="G1223" t="str">
        <f>"avanddanesh"</f>
        <v>avanddanesh</v>
      </c>
    </row>
    <row r="1224" spans="1:7" x14ac:dyDescent="0.25">
      <c r="A1224" t="str">
        <f>"Microstructured Devices for Chemical Processing"</f>
        <v>Microstructured Devices for Chemical Processing</v>
      </c>
      <c r="B1224" t="str">
        <f>"9783527331284"</f>
        <v>9783527331284</v>
      </c>
      <c r="C1224">
        <v>112.5</v>
      </c>
      <c r="D1224" t="str">
        <f t="shared" si="80"/>
        <v>USD</v>
      </c>
      <c r="E1224" t="str">
        <f>"2014"</f>
        <v>2014</v>
      </c>
      <c r="F1224" t="str">
        <f>"Kashid"</f>
        <v>Kashid</v>
      </c>
      <c r="G1224" t="str">
        <f>"avanddanesh"</f>
        <v>avanddanesh</v>
      </c>
    </row>
    <row r="1225" spans="1:7" x14ac:dyDescent="0.25">
      <c r="A1225" t="str">
        <f>"Microsystem Engineering of Lab-on-a-Chip Devices"</f>
        <v>Microsystem Engineering of Lab-on-a-Chip Devices</v>
      </c>
      <c r="B1225" t="str">
        <f>"9783527319428"</f>
        <v>9783527319428</v>
      </c>
      <c r="C1225">
        <v>74.8</v>
      </c>
      <c r="D1225" t="str">
        <f t="shared" si="80"/>
        <v>USD</v>
      </c>
      <c r="E1225" t="str">
        <f>"2008"</f>
        <v>2008</v>
      </c>
      <c r="F1225" t="str">
        <f>"Geschke"</f>
        <v>Geschke</v>
      </c>
      <c r="G1225" t="str">
        <f>"avanddanesh"</f>
        <v>avanddanesh</v>
      </c>
    </row>
    <row r="1226" spans="1:7" x14ac:dyDescent="0.25">
      <c r="A1226" t="str">
        <f>"Microwave Chemical and Materials Processing: A Tutorial"</f>
        <v>Microwave Chemical and Materials Processing: A Tutorial</v>
      </c>
      <c r="B1226" t="str">
        <f>"9789811064654"</f>
        <v>9789811064654</v>
      </c>
      <c r="C1226">
        <v>134.99</v>
      </c>
      <c r="D1226" t="str">
        <f>"EUR"</f>
        <v>EUR</v>
      </c>
      <c r="E1226" t="str">
        <f>"2018"</f>
        <v>2018</v>
      </c>
      <c r="F1226" t="str">
        <f>"Horikoshi"</f>
        <v>Horikoshi</v>
      </c>
      <c r="G1226" t="str">
        <f>"negarestanabi"</f>
        <v>negarestanabi</v>
      </c>
    </row>
    <row r="1227" spans="1:7" x14ac:dyDescent="0.25">
      <c r="A1227" t="str">
        <f>"Microwave Chemistry"</f>
        <v>Microwave Chemistry</v>
      </c>
      <c r="B1227" t="str">
        <f>"9783110479928"</f>
        <v>9783110479928</v>
      </c>
      <c r="C1227">
        <v>62.95</v>
      </c>
      <c r="D1227" t="str">
        <f>"EUR"</f>
        <v>EUR</v>
      </c>
      <c r="E1227" t="str">
        <f>"2017"</f>
        <v>2017</v>
      </c>
      <c r="F1227" t="str">
        <f>"Giancarlo / Carnaro"</f>
        <v>Giancarlo / Carnaro</v>
      </c>
      <c r="G1227" t="str">
        <f>"AsarBartar"</f>
        <v>AsarBartar</v>
      </c>
    </row>
    <row r="1228" spans="1:7" x14ac:dyDescent="0.25">
      <c r="A1228" t="str">
        <f>"MICROWAVE HEATING AS A TOOL FOR SUSTAINABLE CHEMISTRY"</f>
        <v>MICROWAVE HEATING AS A TOOL FOR SUSTAINABLE CHEMISTRY</v>
      </c>
      <c r="B1228" t="str">
        <f>"9781439812693"</f>
        <v>9781439812693</v>
      </c>
      <c r="C1228">
        <v>29.7</v>
      </c>
      <c r="D1228" t="str">
        <f>"GBP"</f>
        <v>GBP</v>
      </c>
      <c r="E1228" t="str">
        <f>"2011"</f>
        <v>2011</v>
      </c>
      <c r="F1228" t="str">
        <f>"NICHOLAS E. LEADBEA"</f>
        <v>NICHOLAS E. LEADBEA</v>
      </c>
      <c r="G1228" t="str">
        <f>"AsarBartar"</f>
        <v>AsarBartar</v>
      </c>
    </row>
    <row r="1229" spans="1:7" x14ac:dyDescent="0.25">
      <c r="A1229" t="str">
        <f>"Microwaves in Catalysis: Methodology and Applications"</f>
        <v>Microwaves in Catalysis: Methodology and Applications</v>
      </c>
      <c r="B1229" t="str">
        <f>"9783527338153"</f>
        <v>9783527338153</v>
      </c>
      <c r="C1229">
        <v>164</v>
      </c>
      <c r="D1229" t="str">
        <f>"USD"</f>
        <v>USD</v>
      </c>
      <c r="E1229" t="str">
        <f>"2015"</f>
        <v>2015</v>
      </c>
      <c r="F1229" t="str">
        <f>"Horikoshi"</f>
        <v>Horikoshi</v>
      </c>
      <c r="G1229" t="str">
        <f>"avanddanesh"</f>
        <v>avanddanesh</v>
      </c>
    </row>
    <row r="1230" spans="1:7" x14ac:dyDescent="0.25">
      <c r="A1230" t="str">
        <f>"Minerals: A Very Short Introduction (Very Short Introductions)"</f>
        <v>Minerals: A Very Short Introduction (Very Short Introductions)</v>
      </c>
      <c r="B1230" t="str">
        <f>"9780199682843"</f>
        <v>9780199682843</v>
      </c>
      <c r="C1230">
        <v>6.4</v>
      </c>
      <c r="D1230" t="str">
        <f>"GBP"</f>
        <v>GBP</v>
      </c>
      <c r="E1230" t="str">
        <f>"2014"</f>
        <v>2014</v>
      </c>
      <c r="F1230" t="str">
        <f>"David Vaughan"</f>
        <v>David Vaughan</v>
      </c>
      <c r="G1230" t="str">
        <f>"AsarBartar"</f>
        <v>AsarBartar</v>
      </c>
    </row>
    <row r="1231" spans="1:7" x14ac:dyDescent="0.25">
      <c r="A1231" t="str">
        <f>"Mirror-Image Asymmetry: An Introduction to the Origin and Consequences of Chirality"</f>
        <v>Mirror-Image Asymmetry: An Introduction to the Origin and Consequences of Chirality</v>
      </c>
      <c r="B1231" t="str">
        <f>"9780470387597"</f>
        <v>9780470387597</v>
      </c>
      <c r="C1231">
        <v>24.8</v>
      </c>
      <c r="D1231" t="str">
        <f>"USD"</f>
        <v>USD</v>
      </c>
      <c r="E1231" t="str">
        <f>"2010"</f>
        <v>2010</v>
      </c>
      <c r="F1231" t="str">
        <f>"Riehl"</f>
        <v>Riehl</v>
      </c>
      <c r="G1231" t="str">
        <f>"avanddanesh"</f>
        <v>avanddanesh</v>
      </c>
    </row>
    <row r="1232" spans="1:7" x14ac:dyDescent="0.25">
      <c r="A1232" t="str">
        <f>"Mirror-Image Asymmetry:An Introduction to the Origin and Consequences of Chirality"</f>
        <v>Mirror-Image Asymmetry:An Introduction to the Origin and Consequences of Chirality</v>
      </c>
      <c r="B1232" t="str">
        <f>"9780470387597"</f>
        <v>9780470387597</v>
      </c>
      <c r="C1232">
        <v>24.8</v>
      </c>
      <c r="D1232" t="str">
        <f>"USD"</f>
        <v>USD</v>
      </c>
      <c r="E1232" t="str">
        <f>"2010"</f>
        <v>2010</v>
      </c>
      <c r="F1232" t="str">
        <f>"Riehl"</f>
        <v>Riehl</v>
      </c>
      <c r="G1232" t="str">
        <f>"safirketab"</f>
        <v>safirketab</v>
      </c>
    </row>
    <row r="1233" spans="1:7" x14ac:dyDescent="0.25">
      <c r="A1233" t="str">
        <f>"Mixed Conducting Ceramic Membranes: Fundamentals. Materials and Applications"</f>
        <v>Mixed Conducting Ceramic Membranes: Fundamentals. Materials and Applications</v>
      </c>
      <c r="B1233" t="str">
        <f>"9783662535325"</f>
        <v>9783662535325</v>
      </c>
      <c r="C1233">
        <v>152.99</v>
      </c>
      <c r="D1233" t="str">
        <f>"EUR"</f>
        <v>EUR</v>
      </c>
      <c r="E1233" t="str">
        <f>"2017"</f>
        <v>2017</v>
      </c>
      <c r="F1233" t="str">
        <f>"Zhu"</f>
        <v>Zhu</v>
      </c>
      <c r="G1233" t="str">
        <f>"negarestanabi"</f>
        <v>negarestanabi</v>
      </c>
    </row>
    <row r="1234" spans="1:7" x14ac:dyDescent="0.25">
      <c r="A1234" t="str">
        <f>"MIXTURE TOXICITY : LINKING APPROACHES FROM ECOLOGICAL A"</f>
        <v>MIXTURE TOXICITY : LINKING APPROACHES FROM ECOLOGICAL A</v>
      </c>
      <c r="B1234" t="str">
        <f>"9781439830086"</f>
        <v>9781439830086</v>
      </c>
      <c r="C1234">
        <v>24.29</v>
      </c>
      <c r="D1234" t="str">
        <f>"GBP"</f>
        <v>GBP</v>
      </c>
      <c r="E1234" t="str">
        <f>"2011"</f>
        <v>2011</v>
      </c>
      <c r="F1234" t="str">
        <f>"VAN GESTEL"</f>
        <v>VAN GESTEL</v>
      </c>
      <c r="G1234" t="str">
        <f>"AsarBartar"</f>
        <v>AsarBartar</v>
      </c>
    </row>
    <row r="1235" spans="1:7" x14ac:dyDescent="0.25">
      <c r="A1235" t="str">
        <f>"Mizoroki-Heck Reaction"</f>
        <v>Mizoroki-Heck Reaction</v>
      </c>
      <c r="B1235" t="str">
        <f>"9780470033944"</f>
        <v>9780470033944</v>
      </c>
      <c r="C1235">
        <v>68</v>
      </c>
      <c r="D1235" t="str">
        <f t="shared" ref="D1235:D1240" si="82">"USD"</f>
        <v>USD</v>
      </c>
      <c r="E1235" t="str">
        <f>"2009"</f>
        <v>2009</v>
      </c>
      <c r="F1235" t="str">
        <f>"Oestreich"</f>
        <v>Oestreich</v>
      </c>
      <c r="G1235" t="str">
        <f>"avanddanesh"</f>
        <v>avanddanesh</v>
      </c>
    </row>
    <row r="1236" spans="1:7" x14ac:dyDescent="0.25">
      <c r="A1236" t="str">
        <f>"Modeling of Liquid Phases"</f>
        <v>Modeling of Liquid Phases</v>
      </c>
      <c r="B1236" t="str">
        <f>"9781848218659"</f>
        <v>9781848218659</v>
      </c>
      <c r="C1236">
        <v>104</v>
      </c>
      <c r="D1236" t="str">
        <f t="shared" si="82"/>
        <v>USD</v>
      </c>
      <c r="E1236" t="str">
        <f>"2015"</f>
        <v>2015</v>
      </c>
      <c r="F1236" t="str">
        <f>"Soustelle"</f>
        <v>Soustelle</v>
      </c>
      <c r="G1236" t="str">
        <f>"avanddanesh"</f>
        <v>avanddanesh</v>
      </c>
    </row>
    <row r="1237" spans="1:7" x14ac:dyDescent="0.25">
      <c r="A1237" t="str">
        <f>"Modeling Solvent Environments:Applications to Simulations of Biomolecules"</f>
        <v>Modeling Solvent Environments:Applications to Simulations of Biomolecules</v>
      </c>
      <c r="B1237" t="str">
        <f>"9783527324217"</f>
        <v>9783527324217</v>
      </c>
      <c r="C1237">
        <v>146.25</v>
      </c>
      <c r="D1237" t="str">
        <f t="shared" si="82"/>
        <v>USD</v>
      </c>
      <c r="E1237" t="str">
        <f>"2010"</f>
        <v>2010</v>
      </c>
      <c r="F1237" t="str">
        <f>"Feig"</f>
        <v>Feig</v>
      </c>
      <c r="G1237" t="str">
        <f>"safirketab"</f>
        <v>safirketab</v>
      </c>
    </row>
    <row r="1238" spans="1:7" x14ac:dyDescent="0.25">
      <c r="A1238" t="str">
        <f>"Models for Bonding in Chemistry"</f>
        <v>Models for Bonding in Chemistry</v>
      </c>
      <c r="B1238" t="str">
        <f>"9780470667033"</f>
        <v>9780470667033</v>
      </c>
      <c r="C1238">
        <v>45</v>
      </c>
      <c r="D1238" t="str">
        <f t="shared" si="82"/>
        <v>USD</v>
      </c>
      <c r="E1238" t="str">
        <f>"2010"</f>
        <v>2010</v>
      </c>
      <c r="F1238" t="str">
        <f>"Magnasco"</f>
        <v>Magnasco</v>
      </c>
      <c r="G1238" t="str">
        <f>"safirketab"</f>
        <v>safirketab</v>
      </c>
    </row>
    <row r="1239" spans="1:7" x14ac:dyDescent="0.25">
      <c r="A1239" t="str">
        <f>"Modern Alkaloids: Structure, Isolation, Synthesis and Biology"</f>
        <v>Modern Alkaloids: Structure, Isolation, Synthesis and Biology</v>
      </c>
      <c r="B1239" t="str">
        <f>"9783527315215"</f>
        <v>9783527315215</v>
      </c>
      <c r="C1239">
        <v>174</v>
      </c>
      <c r="D1239" t="str">
        <f t="shared" si="82"/>
        <v>USD</v>
      </c>
      <c r="E1239" t="str">
        <f>"2008"</f>
        <v>2008</v>
      </c>
      <c r="F1239" t="str">
        <f>"Fattorusso"</f>
        <v>Fattorusso</v>
      </c>
      <c r="G1239" t="str">
        <f>"safirketab"</f>
        <v>safirketab</v>
      </c>
    </row>
    <row r="1240" spans="1:7" x14ac:dyDescent="0.25">
      <c r="A1240" t="str">
        <f>"Modern Alkyne Chemistry: Catalytic and Atom-Economic Transformations"</f>
        <v>Modern Alkyne Chemistry: Catalytic and Atom-Economic Transformations</v>
      </c>
      <c r="B1240" t="str">
        <f>"9783527335053"</f>
        <v>9783527335053</v>
      </c>
      <c r="C1240">
        <v>147</v>
      </c>
      <c r="D1240" t="str">
        <f t="shared" si="82"/>
        <v>USD</v>
      </c>
      <c r="E1240" t="str">
        <f>"2014"</f>
        <v>2014</v>
      </c>
      <c r="F1240" t="str">
        <f>"Trost"</f>
        <v>Trost</v>
      </c>
      <c r="G1240" t="str">
        <f>"avanddanesh"</f>
        <v>avanddanesh</v>
      </c>
    </row>
    <row r="1241" spans="1:7" x14ac:dyDescent="0.25">
      <c r="A1241" t="str">
        <f>"Modern Applications"</f>
        <v>Modern Applications</v>
      </c>
      <c r="B1241" t="str">
        <f>"9783110221855"</f>
        <v>9783110221855</v>
      </c>
      <c r="C1241">
        <v>76.5</v>
      </c>
      <c r="D1241" t="str">
        <f>"EUR"</f>
        <v>EUR</v>
      </c>
      <c r="E1241" t="str">
        <f>"2016"</f>
        <v>2016</v>
      </c>
      <c r="F1241" t="str">
        <f>"Frank RÃ¶sch(Editor)"</f>
        <v>Frank RÃ¶sch(Editor)</v>
      </c>
      <c r="G1241" t="str">
        <f>"AsarBartar"</f>
        <v>AsarBartar</v>
      </c>
    </row>
    <row r="1242" spans="1:7" x14ac:dyDescent="0.25">
      <c r="A1242" t="str">
        <f>"Modern Biocatalysis: Stereoselective and Environmentally Friendly Reactions"</f>
        <v>Modern Biocatalysis: Stereoselective and Environmentally Friendly Reactions</v>
      </c>
      <c r="B1242" t="str">
        <f>"9783527320714"</f>
        <v>9783527320714</v>
      </c>
      <c r="C1242">
        <v>98</v>
      </c>
      <c r="D1242" t="str">
        <f>"USD"</f>
        <v>USD</v>
      </c>
      <c r="E1242" t="str">
        <f>"2009"</f>
        <v>2009</v>
      </c>
      <c r="F1242" t="str">
        <f>"Fessner"</f>
        <v>Fessner</v>
      </c>
      <c r="G1242" t="str">
        <f>"safirketab"</f>
        <v>safirketab</v>
      </c>
    </row>
    <row r="1243" spans="1:7" x14ac:dyDescent="0.25">
      <c r="A1243" t="str">
        <f>"Modern Biocatalysis: Stereoselective and Environmentally Friendly Reactions"</f>
        <v>Modern Biocatalysis: Stereoselective and Environmentally Friendly Reactions</v>
      </c>
      <c r="B1243" t="str">
        <f>"9783527320714"</f>
        <v>9783527320714</v>
      </c>
      <c r="C1243">
        <v>98</v>
      </c>
      <c r="D1243" t="str">
        <f>"USD"</f>
        <v>USD</v>
      </c>
      <c r="E1243" t="str">
        <f>"2008"</f>
        <v>2008</v>
      </c>
      <c r="F1243" t="str">
        <f>"Fessner"</f>
        <v>Fessner</v>
      </c>
      <c r="G1243" t="str">
        <f>"avanddanesh"</f>
        <v>avanddanesh</v>
      </c>
    </row>
    <row r="1244" spans="1:7" x14ac:dyDescent="0.25">
      <c r="A1244" t="str">
        <f>"Modern Biooxidation: Enzymes, Reactions and Applications"</f>
        <v>Modern Biooxidation: Enzymes, Reactions and Applications</v>
      </c>
      <c r="B1244" t="str">
        <f>"9783527315079"</f>
        <v>9783527315079</v>
      </c>
      <c r="C1244">
        <v>117</v>
      </c>
      <c r="D1244" t="str">
        <f>"USD"</f>
        <v>USD</v>
      </c>
      <c r="E1244" t="str">
        <f>"2007"</f>
        <v>2007</v>
      </c>
      <c r="F1244" t="str">
        <f>"Schmid"</f>
        <v>Schmid</v>
      </c>
      <c r="G1244" t="str">
        <f>"safirketab"</f>
        <v>safirketab</v>
      </c>
    </row>
    <row r="1245" spans="1:7" x14ac:dyDescent="0.25">
      <c r="A1245" t="str">
        <f>"Modern Biophysical Chemistry: Detection and Analysis of Biomolecules,2e"</f>
        <v>Modern Biophysical Chemistry: Detection and Analysis of Biomolecules,2e</v>
      </c>
      <c r="B1245" t="str">
        <f>"9783527337736"</f>
        <v>9783527337736</v>
      </c>
      <c r="C1245">
        <v>60</v>
      </c>
      <c r="D1245" t="str">
        <f>"USD"</f>
        <v>USD</v>
      </c>
      <c r="E1245" t="str">
        <f>"2014"</f>
        <v>2014</v>
      </c>
      <c r="F1245" t="str">
        <f>"Walla"</f>
        <v>Walla</v>
      </c>
      <c r="G1245" t="str">
        <f>"avanddanesh"</f>
        <v>avanddanesh</v>
      </c>
    </row>
    <row r="1246" spans="1:7" x14ac:dyDescent="0.25">
      <c r="A1246" t="str">
        <f>"Modern Developments in Catalysis"</f>
        <v>Modern Developments in Catalysis</v>
      </c>
      <c r="B1246" t="str">
        <f>"9781786341211"</f>
        <v>9781786341211</v>
      </c>
      <c r="C1246">
        <v>97.75</v>
      </c>
      <c r="D1246" t="str">
        <f>"GBP"</f>
        <v>GBP</v>
      </c>
      <c r="E1246" t="str">
        <f>"2016"</f>
        <v>2016</v>
      </c>
      <c r="F1246" t="str">
        <f>"Mathew Davidson"</f>
        <v>Mathew Davidson</v>
      </c>
      <c r="G1246" t="str">
        <f>"AsarBartar"</f>
        <v>AsarBartar</v>
      </c>
    </row>
    <row r="1247" spans="1:7" x14ac:dyDescent="0.25">
      <c r="A1247" t="str">
        <f>"Modern Diffraction Methods"</f>
        <v>Modern Diffraction Methods</v>
      </c>
      <c r="B1247" t="str">
        <f>"9783527322794"</f>
        <v>9783527322794</v>
      </c>
      <c r="C1247">
        <v>121.2</v>
      </c>
      <c r="D1247" t="str">
        <f>"USD"</f>
        <v>USD</v>
      </c>
      <c r="E1247" t="str">
        <f>"2012"</f>
        <v>2012</v>
      </c>
      <c r="F1247" t="str">
        <f>"Mittemeijer"</f>
        <v>Mittemeijer</v>
      </c>
      <c r="G1247" t="str">
        <f>"avanddanesh"</f>
        <v>avanddanesh</v>
      </c>
    </row>
    <row r="1248" spans="1:7" x14ac:dyDescent="0.25">
      <c r="A1248" t="str">
        <f>"Modern Enolate Chemistry: From Preparation to Applications in Asymmetric Synthesis"</f>
        <v>Modern Enolate Chemistry: From Preparation to Applications in Asymmetric Synthesis</v>
      </c>
      <c r="B1248" t="str">
        <f>"9783527334520"</f>
        <v>9783527334520</v>
      </c>
      <c r="C1248">
        <v>174.3</v>
      </c>
      <c r="D1248" t="str">
        <f>"USD"</f>
        <v>USD</v>
      </c>
      <c r="E1248" t="str">
        <f>"2016"</f>
        <v>2016</v>
      </c>
      <c r="F1248" t="str">
        <f>"Braun"</f>
        <v>Braun</v>
      </c>
      <c r="G1248" t="str">
        <f>"avanddanesh"</f>
        <v>avanddanesh</v>
      </c>
    </row>
    <row r="1249" spans="1:7" x14ac:dyDescent="0.25">
      <c r="A1249" t="str">
        <f>"Modern Fluoroorganic Chemistry,2e"</f>
        <v>Modern Fluoroorganic Chemistry,2e</v>
      </c>
      <c r="B1249" t="str">
        <f>"9783527331666"</f>
        <v>9783527331666</v>
      </c>
      <c r="C1249">
        <v>131.30000000000001</v>
      </c>
      <c r="D1249" t="str">
        <f>"USD"</f>
        <v>USD</v>
      </c>
      <c r="E1249" t="str">
        <f>"2013"</f>
        <v>2013</v>
      </c>
      <c r="F1249" t="str">
        <f>"Kirsch"</f>
        <v>Kirsch</v>
      </c>
      <c r="G1249" t="str">
        <f>"avanddanesh"</f>
        <v>avanddanesh</v>
      </c>
    </row>
    <row r="1250" spans="1:7" x14ac:dyDescent="0.25">
      <c r="A1250" t="str">
        <f>"MODERN GASTRONOMY: A TO Z"</f>
        <v>MODERN GASTRONOMY: A TO Z</v>
      </c>
      <c r="B1250" t="str">
        <f>"9781439812457"</f>
        <v>9781439812457</v>
      </c>
      <c r="C1250">
        <v>12.59</v>
      </c>
      <c r="D1250" t="str">
        <f>"GBP"</f>
        <v>GBP</v>
      </c>
      <c r="E1250" t="str">
        <f>"2010"</f>
        <v>2010</v>
      </c>
      <c r="F1250" t="str">
        <f>"FERRAN ADRIA"</f>
        <v>FERRAN ADRIA</v>
      </c>
      <c r="G1250" t="str">
        <f>"AsarBartar"</f>
        <v>AsarBartar</v>
      </c>
    </row>
    <row r="1251" spans="1:7" x14ac:dyDescent="0.25">
      <c r="A1251" t="str">
        <f>"Modern Heterogeneous Catalysis: An Introduction"</f>
        <v>Modern Heterogeneous Catalysis: An Introduction</v>
      </c>
      <c r="B1251" t="str">
        <f>"9783527339617"</f>
        <v>9783527339617</v>
      </c>
      <c r="C1251">
        <v>108</v>
      </c>
      <c r="D1251" t="str">
        <f t="shared" ref="D1251:D1266" si="83">"USD"</f>
        <v>USD</v>
      </c>
      <c r="E1251" t="str">
        <f>"2017"</f>
        <v>2017</v>
      </c>
      <c r="F1251" t="str">
        <f>"van Santen"</f>
        <v>van Santen</v>
      </c>
      <c r="G1251" t="str">
        <f>"avanddanesh"</f>
        <v>avanddanesh</v>
      </c>
    </row>
    <row r="1252" spans="1:7" x14ac:dyDescent="0.25">
      <c r="A1252" t="str">
        <f>"Modern Heterogeneous Oxidation Catalysis:Design, Reactions and Characterization"</f>
        <v>Modern Heterogeneous Oxidation Catalysis:Design, Reactions and Characterization</v>
      </c>
      <c r="B1252" t="str">
        <f>"9783527318599"</f>
        <v>9783527318599</v>
      </c>
      <c r="C1252">
        <v>170.1</v>
      </c>
      <c r="D1252" t="str">
        <f t="shared" si="83"/>
        <v>USD</v>
      </c>
      <c r="E1252" t="str">
        <f>"2009"</f>
        <v>2009</v>
      </c>
      <c r="F1252" t="str">
        <f>"Mizuno"</f>
        <v>Mizuno</v>
      </c>
      <c r="G1252" t="str">
        <f>"safirketab"</f>
        <v>safirketab</v>
      </c>
    </row>
    <row r="1253" spans="1:7" x14ac:dyDescent="0.25">
      <c r="A1253" t="str">
        <f>"Modern Inorganic Synthetic Chemistry"</f>
        <v>Modern Inorganic Synthetic Chemistry</v>
      </c>
      <c r="B1253" t="str">
        <f>"9780444635853"</f>
        <v>9780444635853</v>
      </c>
      <c r="C1253">
        <v>328.5</v>
      </c>
      <c r="D1253" t="str">
        <f t="shared" si="83"/>
        <v>USD</v>
      </c>
      <c r="E1253" t="str">
        <f>"2017"</f>
        <v>2017</v>
      </c>
      <c r="F1253" t="str">
        <f>"Xu, Ruren"</f>
        <v>Xu, Ruren</v>
      </c>
      <c r="G1253" t="str">
        <f>"dehkadehketab"</f>
        <v>dehkadehketab</v>
      </c>
    </row>
    <row r="1254" spans="1:7" x14ac:dyDescent="0.25">
      <c r="A1254" t="str">
        <f>"Modern Nuclear Chemistry,2e"</f>
        <v>Modern Nuclear Chemistry,2e</v>
      </c>
      <c r="B1254" t="str">
        <f>"9780470906736"</f>
        <v>9780470906736</v>
      </c>
      <c r="C1254">
        <v>157.5</v>
      </c>
      <c r="D1254" t="str">
        <f t="shared" si="83"/>
        <v>USD</v>
      </c>
      <c r="E1254" t="str">
        <f>"2017"</f>
        <v>2017</v>
      </c>
      <c r="F1254" t="str">
        <f>"Loveland"</f>
        <v>Loveland</v>
      </c>
      <c r="G1254" t="str">
        <f>"avanddanesh"</f>
        <v>avanddanesh</v>
      </c>
    </row>
    <row r="1255" spans="1:7" x14ac:dyDescent="0.25">
      <c r="A1255" t="str">
        <f>"Modern Organic Synthesis: An Introduction,2e"</f>
        <v>Modern Organic Synthesis: An Introduction,2e</v>
      </c>
      <c r="B1255" t="str">
        <f>"9781119086536"</f>
        <v>9781119086536</v>
      </c>
      <c r="C1255">
        <v>112.5</v>
      </c>
      <c r="D1255" t="str">
        <f t="shared" si="83"/>
        <v>USD</v>
      </c>
      <c r="E1255" t="str">
        <f>"2017"</f>
        <v>2017</v>
      </c>
      <c r="F1255" t="str">
        <f>"Zweifel"</f>
        <v>Zweifel</v>
      </c>
      <c r="G1255" t="str">
        <f>"avanddanesh"</f>
        <v>avanddanesh</v>
      </c>
    </row>
    <row r="1256" spans="1:7" x14ac:dyDescent="0.25">
      <c r="A1256" t="str">
        <f>"Modern Polymer Spectroscopy:17th European Symposium on Polymer Spectroscopy"</f>
        <v>Modern Polymer Spectroscopy:17th European Symposium on Polymer Spectroscopy</v>
      </c>
      <c r="B1256" t="str">
        <f>"9783527324385"</f>
        <v>9783527324385</v>
      </c>
      <c r="C1256">
        <v>93</v>
      </c>
      <c r="D1256" t="str">
        <f t="shared" si="83"/>
        <v>USD</v>
      </c>
      <c r="E1256" t="str">
        <f>"2008"</f>
        <v>2008</v>
      </c>
      <c r="F1256" t="str">
        <f>"Wilhelm"</f>
        <v>Wilhelm</v>
      </c>
      <c r="G1256" t="str">
        <f>"safirketab"</f>
        <v>safirketab</v>
      </c>
    </row>
    <row r="1257" spans="1:7" x14ac:dyDescent="0.25">
      <c r="A1257" t="str">
        <f>"Modern Reduction Methods"</f>
        <v>Modern Reduction Methods</v>
      </c>
      <c r="B1257" t="str">
        <f>"9783527318629"</f>
        <v>9783527318629</v>
      </c>
      <c r="C1257">
        <v>135</v>
      </c>
      <c r="D1257" t="str">
        <f t="shared" si="83"/>
        <v>USD</v>
      </c>
      <c r="E1257" t="str">
        <f>"2008"</f>
        <v>2008</v>
      </c>
      <c r="F1257" t="str">
        <f>"Andersson"</f>
        <v>Andersson</v>
      </c>
      <c r="G1257" t="str">
        <f>"safirketab"</f>
        <v>safirketab</v>
      </c>
    </row>
    <row r="1258" spans="1:7" x14ac:dyDescent="0.25">
      <c r="A1258" t="str">
        <f>"Modern Supramolecular Chemistry: Strategies for Macrocycle Synthesis"</f>
        <v>Modern Supramolecular Chemistry: Strategies for Macrocycle Synthesis</v>
      </c>
      <c r="B1258" t="str">
        <f>"9783527318261"</f>
        <v>9783527318261</v>
      </c>
      <c r="C1258">
        <v>126</v>
      </c>
      <c r="D1258" t="str">
        <f t="shared" si="83"/>
        <v>USD</v>
      </c>
      <c r="E1258" t="str">
        <f>"2008"</f>
        <v>2008</v>
      </c>
      <c r="F1258" t="str">
        <f>"Diederich"</f>
        <v>Diederich</v>
      </c>
      <c r="G1258" t="str">
        <f>"safirketab"</f>
        <v>safirketab</v>
      </c>
    </row>
    <row r="1259" spans="1:7" x14ac:dyDescent="0.25">
      <c r="A1259" t="str">
        <f>"Modern Surface Organometallic Chemistry"</f>
        <v>Modern Surface Organometallic Chemistry</v>
      </c>
      <c r="B1259" t="str">
        <f>"9783527319725"</f>
        <v>9783527319725</v>
      </c>
      <c r="C1259">
        <v>270</v>
      </c>
      <c r="D1259" t="str">
        <f t="shared" si="83"/>
        <v>USD</v>
      </c>
      <c r="E1259" t="str">
        <f>"2009"</f>
        <v>2009</v>
      </c>
      <c r="F1259" t="str">
        <f>"Basset"</f>
        <v>Basset</v>
      </c>
      <c r="G1259" t="str">
        <f>"safirketab"</f>
        <v>safirketab</v>
      </c>
    </row>
    <row r="1260" spans="1:7" x14ac:dyDescent="0.25">
      <c r="A1260" t="str">
        <f>"Modern Synthetic Methods in Carbohydrate Chemistry: From Monosaccharides to Complex Glycoconjugates"</f>
        <v>Modern Synthetic Methods in Carbohydrate Chemistry: From Monosaccharides to Complex Glycoconjugates</v>
      </c>
      <c r="B1260" t="str">
        <f>"9783527332847"</f>
        <v>9783527332847</v>
      </c>
      <c r="C1260">
        <v>131.30000000000001</v>
      </c>
      <c r="D1260" t="str">
        <f t="shared" si="83"/>
        <v>USD</v>
      </c>
      <c r="E1260" t="str">
        <f>"2013"</f>
        <v>2013</v>
      </c>
      <c r="F1260" t="str">
        <f>"Werz"</f>
        <v>Werz</v>
      </c>
      <c r="G1260" t="str">
        <f>"avanddanesh"</f>
        <v>avanddanesh</v>
      </c>
    </row>
    <row r="1261" spans="1:7" x14ac:dyDescent="0.25">
      <c r="A1261" t="str">
        <f>"Modern Thermodynamics: From Heat Engines to Dissipative Structures,2e"</f>
        <v>Modern Thermodynamics: From Heat Engines to Dissipative Structures,2e</v>
      </c>
      <c r="B1261" t="str">
        <f>"9781118371817"</f>
        <v>9781118371817</v>
      </c>
      <c r="C1261">
        <v>48.8</v>
      </c>
      <c r="D1261" t="str">
        <f t="shared" si="83"/>
        <v>USD</v>
      </c>
      <c r="E1261" t="str">
        <f>"2014"</f>
        <v>2014</v>
      </c>
      <c r="F1261" t="str">
        <f>"Kondepudi"</f>
        <v>Kondepudi</v>
      </c>
      <c r="G1261" t="str">
        <f>"avanddanesh"</f>
        <v>avanddanesh</v>
      </c>
    </row>
    <row r="1262" spans="1:7" x14ac:dyDescent="0.25">
      <c r="A1262" t="str">
        <f>"Modern Tools for the Synthesis of Complex Bioactive Molecules"</f>
        <v>Modern Tools for the Synthesis of Complex Bioactive Molecules</v>
      </c>
      <c r="B1262" t="str">
        <f>"9780470616185"</f>
        <v>9780470616185</v>
      </c>
      <c r="C1262">
        <v>99</v>
      </c>
      <c r="D1262" t="str">
        <f t="shared" si="83"/>
        <v>USD</v>
      </c>
      <c r="E1262" t="str">
        <f>"2012"</f>
        <v>2012</v>
      </c>
      <c r="F1262" t="str">
        <f>"Cossy"</f>
        <v>Cossy</v>
      </c>
      <c r="G1262" t="str">
        <f>"avanddanesh"</f>
        <v>avanddanesh</v>
      </c>
    </row>
    <row r="1263" spans="1:7" x14ac:dyDescent="0.25">
      <c r="A1263" t="str">
        <f>"Modern Vibrational Spectroscopy and Micro-Spectroscopy: Theory, Instrumentation and Biomedical Applications"</f>
        <v>Modern Vibrational Spectroscopy and Micro-Spectroscopy: Theory, Instrumentation and Biomedical Applications</v>
      </c>
      <c r="B1263" t="str">
        <f>"9781118824863"</f>
        <v>9781118824863</v>
      </c>
      <c r="C1263">
        <v>100</v>
      </c>
      <c r="D1263" t="str">
        <f t="shared" si="83"/>
        <v>USD</v>
      </c>
      <c r="E1263" t="str">
        <f>"2015"</f>
        <v>2015</v>
      </c>
      <c r="F1263" t="str">
        <f>"Diem"</f>
        <v>Diem</v>
      </c>
      <c r="G1263" t="str">
        <f>"avanddanesh"</f>
        <v>avanddanesh</v>
      </c>
    </row>
    <row r="1264" spans="1:7" x14ac:dyDescent="0.25">
      <c r="A1264" t="str">
        <f>"Modified Nucleosides: in Biochemistry, Biotechnology and Medicine"</f>
        <v>Modified Nucleosides: in Biochemistry, Biotechnology and Medicine</v>
      </c>
      <c r="B1264" t="str">
        <f>"9783527318209"</f>
        <v>9783527318209</v>
      </c>
      <c r="C1264">
        <v>202</v>
      </c>
      <c r="D1264" t="str">
        <f t="shared" si="83"/>
        <v>USD</v>
      </c>
      <c r="E1264" t="str">
        <f>"2008"</f>
        <v>2008</v>
      </c>
      <c r="F1264" t="str">
        <f>"Herdewijn"</f>
        <v>Herdewijn</v>
      </c>
      <c r="G1264" t="str">
        <f>"avanddanesh"</f>
        <v>avanddanesh</v>
      </c>
    </row>
    <row r="1265" spans="1:7" x14ac:dyDescent="0.25">
      <c r="A1265" t="str">
        <f>"Modified Nucleosides:in Biochemistry, Biotechnology and Medicine"</f>
        <v>Modified Nucleosides:in Biochemistry, Biotechnology and Medicine</v>
      </c>
      <c r="B1265" t="str">
        <f>"9783527318209"</f>
        <v>9783527318209</v>
      </c>
      <c r="C1265">
        <v>202</v>
      </c>
      <c r="D1265" t="str">
        <f t="shared" si="83"/>
        <v>USD</v>
      </c>
      <c r="E1265" t="str">
        <f>"2008"</f>
        <v>2008</v>
      </c>
      <c r="F1265" t="str">
        <f>"Herdewijn"</f>
        <v>Herdewijn</v>
      </c>
      <c r="G1265" t="str">
        <f>"safirketab"</f>
        <v>safirketab</v>
      </c>
    </row>
    <row r="1266" spans="1:7" x14ac:dyDescent="0.25">
      <c r="A1266" t="str">
        <f>"Molecular and Supramolecular Information Processing"</f>
        <v>Molecular and Supramolecular Information Processing</v>
      </c>
      <c r="B1266" t="str">
        <f>"9783527331956"</f>
        <v>9783527331956</v>
      </c>
      <c r="C1266">
        <v>117.6</v>
      </c>
      <c r="D1266" t="str">
        <f t="shared" si="83"/>
        <v>USD</v>
      </c>
      <c r="E1266" t="str">
        <f>"2012"</f>
        <v>2012</v>
      </c>
      <c r="F1266" t="str">
        <f>"Katz"</f>
        <v>Katz</v>
      </c>
      <c r="G1266" t="str">
        <f>"avanddanesh"</f>
        <v>avanddanesh</v>
      </c>
    </row>
    <row r="1267" spans="1:7" x14ac:dyDescent="0.25">
      <c r="A1267" t="str">
        <f>"MOLECULAR CLUSTER MAGNETS"</f>
        <v>MOLECULAR CLUSTER MAGNETS</v>
      </c>
      <c r="B1267" t="str">
        <f>"9789814322942"</f>
        <v>9789814322942</v>
      </c>
      <c r="C1267">
        <v>64.8</v>
      </c>
      <c r="D1267" t="str">
        <f>"GBP"</f>
        <v>GBP</v>
      </c>
      <c r="E1267" t="str">
        <f>"2012"</f>
        <v>2012</v>
      </c>
      <c r="F1267" t="str">
        <f>"WINPENNY RICHARD"</f>
        <v>WINPENNY RICHARD</v>
      </c>
      <c r="G1267" t="str">
        <f>"AsarBartar"</f>
        <v>AsarBartar</v>
      </c>
    </row>
    <row r="1268" spans="1:7" x14ac:dyDescent="0.25">
      <c r="A1268" t="str">
        <f>"Molecular Design: Concepts and Applications"</f>
        <v>Molecular Design: Concepts and Applications</v>
      </c>
      <c r="B1268" t="str">
        <f>"9783527314324"</f>
        <v>9783527314324</v>
      </c>
      <c r="C1268">
        <v>45</v>
      </c>
      <c r="D1268" t="str">
        <f t="shared" ref="D1268:D1273" si="84">"USD"</f>
        <v>USD</v>
      </c>
      <c r="E1268" t="str">
        <f>"2008"</f>
        <v>2008</v>
      </c>
      <c r="F1268" t="str">
        <f>"Schneider"</f>
        <v>Schneider</v>
      </c>
      <c r="G1268" t="str">
        <f>"safirketab"</f>
        <v>safirketab</v>
      </c>
    </row>
    <row r="1269" spans="1:7" x14ac:dyDescent="0.25">
      <c r="A1269" t="str">
        <f>"Molecular Drug Properties: Measurement and Prediction"</f>
        <v>Molecular Drug Properties: Measurement and Prediction</v>
      </c>
      <c r="B1269" t="str">
        <f>"9783527317554"</f>
        <v>9783527317554</v>
      </c>
      <c r="C1269">
        <v>126</v>
      </c>
      <c r="D1269" t="str">
        <f t="shared" si="84"/>
        <v>USD</v>
      </c>
      <c r="E1269" t="str">
        <f>"2007"</f>
        <v>2007</v>
      </c>
      <c r="F1269" t="str">
        <f>"Mannhold"</f>
        <v>Mannhold</v>
      </c>
      <c r="G1269" t="str">
        <f>"safirketab"</f>
        <v>safirketab</v>
      </c>
    </row>
    <row r="1270" spans="1:7" x14ac:dyDescent="0.25">
      <c r="A1270" t="str">
        <f>"Molecular Encapsulation: Organic Reactions in Constrained Systems"</f>
        <v>Molecular Encapsulation: Organic Reactions in Constrained Systems</v>
      </c>
      <c r="B1270" t="str">
        <f>"9780470998076"</f>
        <v>9780470998076</v>
      </c>
      <c r="C1270">
        <v>138.6</v>
      </c>
      <c r="D1270" t="str">
        <f t="shared" si="84"/>
        <v>USD</v>
      </c>
      <c r="E1270" t="str">
        <f>"2010"</f>
        <v>2010</v>
      </c>
      <c r="F1270" t="str">
        <f>"Brinker"</f>
        <v>Brinker</v>
      </c>
      <c r="G1270" t="str">
        <f>"safirketab"</f>
        <v>safirketab</v>
      </c>
    </row>
    <row r="1271" spans="1:7" x14ac:dyDescent="0.25">
      <c r="A1271" t="str">
        <f>"Molecular Excitation Dynamics and Relaxation"</f>
        <v>Molecular Excitation Dynamics and Relaxation</v>
      </c>
      <c r="B1271" t="str">
        <f>"9783527410088"</f>
        <v>9783527410088</v>
      </c>
      <c r="C1271">
        <v>114.4</v>
      </c>
      <c r="D1271" t="str">
        <f t="shared" si="84"/>
        <v>USD</v>
      </c>
      <c r="E1271" t="str">
        <f>"2013"</f>
        <v>2013</v>
      </c>
      <c r="F1271" t="str">
        <f>"Valkunas"</f>
        <v>Valkunas</v>
      </c>
      <c r="G1271" t="str">
        <f>"avanddanesh"</f>
        <v>avanddanesh</v>
      </c>
    </row>
    <row r="1272" spans="1:7" x14ac:dyDescent="0.25">
      <c r="A1272" t="str">
        <f>"Molecular Fluorescence: Principles and Applications,2e"</f>
        <v>Molecular Fluorescence: Principles and Applications,2e</v>
      </c>
      <c r="B1272" t="str">
        <f>"9783527328376"</f>
        <v>9783527328376</v>
      </c>
      <c r="C1272">
        <v>117.6</v>
      </c>
      <c r="D1272" t="str">
        <f t="shared" si="84"/>
        <v>USD</v>
      </c>
      <c r="E1272" t="str">
        <f>"2012"</f>
        <v>2012</v>
      </c>
      <c r="F1272" t="str">
        <f>"Valeur"</f>
        <v>Valeur</v>
      </c>
      <c r="G1272" t="str">
        <f>"avanddanesh"</f>
        <v>avanddanesh</v>
      </c>
    </row>
    <row r="1273" spans="1:7" x14ac:dyDescent="0.25">
      <c r="A1273" t="str">
        <f>"Molecular Magnetic Materials: Concepts and Applications"</f>
        <v>Molecular Magnetic Materials: Concepts and Applications</v>
      </c>
      <c r="B1273" t="str">
        <f>"9783527339532"</f>
        <v>9783527339532</v>
      </c>
      <c r="C1273">
        <v>153</v>
      </c>
      <c r="D1273" t="str">
        <f t="shared" si="84"/>
        <v>USD</v>
      </c>
      <c r="E1273" t="str">
        <f>"2016"</f>
        <v>2016</v>
      </c>
      <c r="F1273" t="str">
        <f>"Sieklucka"</f>
        <v>Sieklucka</v>
      </c>
      <c r="G1273" t="str">
        <f>"avanddanesh"</f>
        <v>avanddanesh</v>
      </c>
    </row>
    <row r="1274" spans="1:7" x14ac:dyDescent="0.25">
      <c r="A1274" t="str">
        <f>"MOLECULAR MANIPULATION WITH ATOMIC"</f>
        <v>MOLECULAR MANIPULATION WITH ATOMIC</v>
      </c>
      <c r="B1274" t="str">
        <f>"9781439809662"</f>
        <v>9781439809662</v>
      </c>
      <c r="C1274">
        <v>65.400000000000006</v>
      </c>
      <c r="D1274" t="str">
        <f>"GBP"</f>
        <v>GBP</v>
      </c>
      <c r="E1274" t="str">
        <f>"2012"</f>
        <v>2012</v>
      </c>
      <c r="F1274" t="str">
        <f>"A S DUWAZ"</f>
        <v>A S DUWAZ</v>
      </c>
      <c r="G1274" t="str">
        <f>"AsarBartar"</f>
        <v>AsarBartar</v>
      </c>
    </row>
    <row r="1275" spans="1:7" x14ac:dyDescent="0.25">
      <c r="A1275" t="str">
        <f>"Molecular Mechanics &amp; Modeling"</f>
        <v>Molecular Mechanics &amp; Modeling</v>
      </c>
      <c r="B1275" t="str">
        <f>"9781634833882"</f>
        <v>9781634833882</v>
      </c>
      <c r="C1275">
        <v>78.2</v>
      </c>
      <c r="D1275" t="str">
        <f>"GBP"</f>
        <v>GBP</v>
      </c>
      <c r="E1275" t="str">
        <f>"2015"</f>
        <v>2015</v>
      </c>
      <c r="F1275" t="str">
        <f>"Priscilla Watkins(E"</f>
        <v>Priscilla Watkins(E</v>
      </c>
      <c r="G1275" t="str">
        <f>"AsarBartar"</f>
        <v>AsarBartar</v>
      </c>
    </row>
    <row r="1276" spans="1:7" x14ac:dyDescent="0.25">
      <c r="A1276" t="str">
        <f>"Molecular Metal-Metal Bonds: Compounds, Synthesis, Properties"</f>
        <v>Molecular Metal-Metal Bonds: Compounds, Synthesis, Properties</v>
      </c>
      <c r="B1276" t="str">
        <f>"9783527335411"</f>
        <v>9783527335411</v>
      </c>
      <c r="C1276">
        <v>172</v>
      </c>
      <c r="D1276" t="str">
        <f>"USD"</f>
        <v>USD</v>
      </c>
      <c r="E1276" t="str">
        <f>"2015"</f>
        <v>2015</v>
      </c>
      <c r="F1276" t="str">
        <f>"Liddle"</f>
        <v>Liddle</v>
      </c>
      <c r="G1276" t="str">
        <f>"avanddanesh"</f>
        <v>avanddanesh</v>
      </c>
    </row>
    <row r="1277" spans="1:7" x14ac:dyDescent="0.25">
      <c r="A1277" t="str">
        <f>"Molecular Modeling of Geochemical Reactions: An Introduction"</f>
        <v>Molecular Modeling of Geochemical Reactions: An Introduction</v>
      </c>
      <c r="B1277" t="str">
        <f>"9781118845080"</f>
        <v>9781118845080</v>
      </c>
      <c r="C1277">
        <v>93.5</v>
      </c>
      <c r="D1277" t="str">
        <f>"USD"</f>
        <v>USD</v>
      </c>
      <c r="E1277" t="str">
        <f>"2016"</f>
        <v>2016</v>
      </c>
      <c r="F1277" t="str">
        <f>"Kubicki"</f>
        <v>Kubicki</v>
      </c>
      <c r="G1277" t="str">
        <f>"avanddanesh"</f>
        <v>avanddanesh</v>
      </c>
    </row>
    <row r="1278" spans="1:7" x14ac:dyDescent="0.25">
      <c r="A1278" t="str">
        <f>"Molecular Nanomagnets and Related Phenomena"</f>
        <v>Molecular Nanomagnets and Related Phenomena</v>
      </c>
      <c r="B1278" t="str">
        <f>"9783662457221"</f>
        <v>9783662457221</v>
      </c>
      <c r="C1278">
        <v>251.99</v>
      </c>
      <c r="D1278" t="str">
        <f>"EUR"</f>
        <v>EUR</v>
      </c>
      <c r="E1278" t="str">
        <f>"2015"</f>
        <v>2015</v>
      </c>
      <c r="F1278" t="str">
        <f>"Gao"</f>
        <v>Gao</v>
      </c>
      <c r="G1278" t="str">
        <f>"negarestanabi"</f>
        <v>negarestanabi</v>
      </c>
    </row>
    <row r="1279" spans="1:7" x14ac:dyDescent="0.25">
      <c r="A1279" t="str">
        <f>"Molecular Orbitals and Organic Chemical Reactions: Reference Edition"</f>
        <v>Molecular Orbitals and Organic Chemical Reactions: Reference Edition</v>
      </c>
      <c r="B1279" t="str">
        <f>"9780470746585"</f>
        <v>9780470746585</v>
      </c>
      <c r="C1279">
        <v>58</v>
      </c>
      <c r="D1279" t="str">
        <f>"USD"</f>
        <v>USD</v>
      </c>
      <c r="E1279" t="str">
        <f>"2010"</f>
        <v>2010</v>
      </c>
      <c r="F1279" t="str">
        <f>"Fleming"</f>
        <v>Fleming</v>
      </c>
      <c r="G1279" t="str">
        <f>"avanddanesh"</f>
        <v>avanddanesh</v>
      </c>
    </row>
    <row r="1280" spans="1:7" x14ac:dyDescent="0.25">
      <c r="A1280" t="str">
        <f>"Molecular Physical Chemistry: A Computer-based Approach using MathematicaÂ® and Gaussian"</f>
        <v>Molecular Physical Chemistry: A Computer-based Approach using MathematicaÂ® and Gaussian</v>
      </c>
      <c r="B1280" t="str">
        <f>"9783319410920"</f>
        <v>9783319410920</v>
      </c>
      <c r="C1280">
        <v>76.489999999999995</v>
      </c>
      <c r="D1280" t="str">
        <f>"EUR"</f>
        <v>EUR</v>
      </c>
      <c r="E1280" t="str">
        <f>"2017"</f>
        <v>2017</v>
      </c>
      <c r="F1280" t="str">
        <f>"Teixeira-Dias"</f>
        <v>Teixeira-Dias</v>
      </c>
      <c r="G1280" t="str">
        <f>"negarestanabi"</f>
        <v>negarestanabi</v>
      </c>
    </row>
    <row r="1281" spans="1:7" x14ac:dyDescent="0.25">
      <c r="A1281" t="str">
        <f>"Molecular Quantum Electrodynamics:Long-Range Intermolecular Interactions"</f>
        <v>Molecular Quantum Electrodynamics:Long-Range Intermolecular Interactions</v>
      </c>
      <c r="B1281" t="str">
        <f>"9780470259306"</f>
        <v>9780470259306</v>
      </c>
      <c r="C1281">
        <v>90</v>
      </c>
      <c r="D1281" t="str">
        <f>"USD"</f>
        <v>USD</v>
      </c>
      <c r="E1281" t="str">
        <f>"2010"</f>
        <v>2010</v>
      </c>
      <c r="F1281" t="str">
        <f>"Salam"</f>
        <v>Salam</v>
      </c>
      <c r="G1281" t="str">
        <f>"safirketab"</f>
        <v>safirketab</v>
      </c>
    </row>
    <row r="1282" spans="1:7" x14ac:dyDescent="0.25">
      <c r="A1282" t="str">
        <f>"Molecular Rearrangements in Organic Synthesis"</f>
        <v>Molecular Rearrangements in Organic Synthesis</v>
      </c>
      <c r="B1282" t="str">
        <f>"9781118347966"</f>
        <v>9781118347966</v>
      </c>
      <c r="C1282">
        <v>156</v>
      </c>
      <c r="D1282" t="str">
        <f>"USD"</f>
        <v>USD</v>
      </c>
      <c r="E1282" t="str">
        <f>"2015"</f>
        <v>2015</v>
      </c>
      <c r="F1282" t="str">
        <f>"Rojas"</f>
        <v>Rojas</v>
      </c>
      <c r="G1282" t="str">
        <f>"avanddanesh"</f>
        <v>avanddanesh</v>
      </c>
    </row>
    <row r="1283" spans="1:7" x14ac:dyDescent="0.25">
      <c r="A1283" t="str">
        <f>"Molecular Science of Fluctuations Toward Biological Functions "</f>
        <v xml:space="preserve">Molecular Science of Fluctuations Toward Biological Functions </v>
      </c>
      <c r="B1283" t="str">
        <f>"9784431558385"</f>
        <v>9784431558385</v>
      </c>
      <c r="C1283">
        <v>116.99</v>
      </c>
      <c r="D1283" t="str">
        <f>"EUR"</f>
        <v>EUR</v>
      </c>
      <c r="E1283" t="str">
        <f>"2016"</f>
        <v>2016</v>
      </c>
      <c r="F1283" t="str">
        <f>"Terazima"</f>
        <v>Terazima</v>
      </c>
      <c r="G1283" t="str">
        <f>"negarestanabi"</f>
        <v>negarestanabi</v>
      </c>
    </row>
    <row r="1284" spans="1:7" x14ac:dyDescent="0.25">
      <c r="A1284" t="str">
        <f>"Molecular Structure and Spectroscopy, 2/e"</f>
        <v>Molecular Structure and Spectroscopy, 2/e</v>
      </c>
      <c r="B1284" t="str">
        <f>"9788120332157"</f>
        <v>9788120332157</v>
      </c>
      <c r="C1284">
        <v>10.199999999999999</v>
      </c>
      <c r="D1284" t="str">
        <f t="shared" ref="D1284:D1291" si="85">"USD"</f>
        <v>USD</v>
      </c>
      <c r="E1284" t="str">
        <f>"2016"</f>
        <v>2016</v>
      </c>
      <c r="F1284" t="str">
        <f>"Aruldhas"</f>
        <v>Aruldhas</v>
      </c>
      <c r="G1284" t="str">
        <f>"jahanadib"</f>
        <v>jahanadib</v>
      </c>
    </row>
    <row r="1285" spans="1:7" x14ac:dyDescent="0.25">
      <c r="A1285" t="str">
        <f>"Molecular Structure: Understanding Steric and Electronic Effects from Molecular Mechanics"</f>
        <v>Molecular Structure: Understanding Steric and Electronic Effects from Molecular Mechanics</v>
      </c>
      <c r="B1285" t="str">
        <f>"9780470195574"</f>
        <v>9780470195574</v>
      </c>
      <c r="C1285">
        <v>91.5</v>
      </c>
      <c r="D1285" t="str">
        <f t="shared" si="85"/>
        <v>USD</v>
      </c>
      <c r="E1285" t="str">
        <f>"2010"</f>
        <v>2010</v>
      </c>
      <c r="F1285" t="str">
        <f>"Allinger"</f>
        <v>Allinger</v>
      </c>
      <c r="G1285" t="str">
        <f>"safirketab"</f>
        <v>safirketab</v>
      </c>
    </row>
    <row r="1286" spans="1:7" x14ac:dyDescent="0.25">
      <c r="A1286" t="str">
        <f>"Molecular Switches,2V Set,2e"</f>
        <v>Molecular Switches,2V Set,2e</v>
      </c>
      <c r="B1286" t="str">
        <f>"9783527313655"</f>
        <v>9783527313655</v>
      </c>
      <c r="C1286">
        <v>146.80000000000001</v>
      </c>
      <c r="D1286" t="str">
        <f t="shared" si="85"/>
        <v>USD</v>
      </c>
      <c r="E1286" t="str">
        <f>"2011"</f>
        <v>2011</v>
      </c>
      <c r="F1286" t="str">
        <f>"Feringa"</f>
        <v>Feringa</v>
      </c>
      <c r="G1286" t="str">
        <f>"avanddanesh"</f>
        <v>avanddanesh</v>
      </c>
    </row>
    <row r="1287" spans="1:7" x14ac:dyDescent="0.25">
      <c r="A1287" t="str">
        <f>"Molecular Symmetry"</f>
        <v>Molecular Symmetry</v>
      </c>
      <c r="B1287" t="str">
        <f>"9780470853481"</f>
        <v>9780470853481</v>
      </c>
      <c r="C1287">
        <v>41.25</v>
      </c>
      <c r="D1287" t="str">
        <f t="shared" si="85"/>
        <v>USD</v>
      </c>
      <c r="E1287" t="str">
        <f>"2009"</f>
        <v>2009</v>
      </c>
      <c r="F1287" t="str">
        <f>"Willock"</f>
        <v>Willock</v>
      </c>
      <c r="G1287" t="str">
        <f>"safirketab"</f>
        <v>safirketab</v>
      </c>
    </row>
    <row r="1288" spans="1:7" x14ac:dyDescent="0.25">
      <c r="A1288" t="str">
        <f>"Molecular System Bioenergetics: Energy for Life"</f>
        <v>Molecular System Bioenergetics: Energy for Life</v>
      </c>
      <c r="B1288" t="str">
        <f>"9783527317875"</f>
        <v>9783527317875</v>
      </c>
      <c r="C1288">
        <v>123.2</v>
      </c>
      <c r="D1288" t="str">
        <f t="shared" si="85"/>
        <v>USD</v>
      </c>
      <c r="E1288" t="str">
        <f>"2007"</f>
        <v>2007</v>
      </c>
      <c r="F1288" t="str">
        <f>"Saks"</f>
        <v>Saks</v>
      </c>
      <c r="G1288" t="str">
        <f>"avanddanesh"</f>
        <v>avanddanesh</v>
      </c>
    </row>
    <row r="1289" spans="1:7" x14ac:dyDescent="0.25">
      <c r="A1289" t="str">
        <f>"Molecular System Bioenergetics: Energy for Life"</f>
        <v>Molecular System Bioenergetics: Energy for Life</v>
      </c>
      <c r="B1289" t="str">
        <f>"9783527317875"</f>
        <v>9783527317875</v>
      </c>
      <c r="C1289">
        <v>123.2</v>
      </c>
      <c r="D1289" t="str">
        <f t="shared" si="85"/>
        <v>USD</v>
      </c>
      <c r="E1289" t="str">
        <f>"2007"</f>
        <v>2007</v>
      </c>
      <c r="F1289" t="str">
        <f>"Saks"</f>
        <v>Saks</v>
      </c>
      <c r="G1289" t="str">
        <f>"safirketab"</f>
        <v>safirketab</v>
      </c>
    </row>
    <row r="1290" spans="1:7" x14ac:dyDescent="0.25">
      <c r="A1290" t="str">
        <f>"Molecular Water Oxidation Catalysis"</f>
        <v>Molecular Water Oxidation Catalysis</v>
      </c>
      <c r="B1290" t="str">
        <f>"9781118413371"</f>
        <v>9781118413371</v>
      </c>
      <c r="C1290">
        <v>93.8</v>
      </c>
      <c r="D1290" t="str">
        <f t="shared" si="85"/>
        <v>USD</v>
      </c>
      <c r="E1290" t="str">
        <f>"2014"</f>
        <v>2014</v>
      </c>
      <c r="F1290" t="str">
        <f>"Llobet"</f>
        <v>Llobet</v>
      </c>
      <c r="G1290" t="str">
        <f>"avanddanesh"</f>
        <v>avanddanesh</v>
      </c>
    </row>
    <row r="1291" spans="1:7" x14ac:dyDescent="0.25">
      <c r="A1291" t="str">
        <f>"Molecules and Matter with Chemical Bonding"</f>
        <v>Molecules and Matter with Chemical Bonding</v>
      </c>
      <c r="B1291" t="str">
        <f>"9783527333158"</f>
        <v>9783527333158</v>
      </c>
      <c r="C1291">
        <v>147</v>
      </c>
      <c r="D1291" t="str">
        <f t="shared" si="85"/>
        <v>USD</v>
      </c>
      <c r="E1291" t="str">
        <f>"2014"</f>
        <v>2014</v>
      </c>
      <c r="F1291" t="str">
        <f>"Frenking"</f>
        <v>Frenking</v>
      </c>
      <c r="G1291" t="str">
        <f>"avanddanesh"</f>
        <v>avanddanesh</v>
      </c>
    </row>
    <row r="1292" spans="1:7" x14ac:dyDescent="0.25">
      <c r="A1292" t="str">
        <f>"Molecules of Murder Set"</f>
        <v>Molecules of Murder Set</v>
      </c>
      <c r="B1292" t="str">
        <f>"9781788011167"</f>
        <v>9781788011167</v>
      </c>
      <c r="C1292">
        <v>29.7</v>
      </c>
      <c r="D1292" t="str">
        <f>"GBP"</f>
        <v>GBP</v>
      </c>
      <c r="E1292" t="str">
        <f>"2017"</f>
        <v>2017</v>
      </c>
      <c r="F1292" t="str">
        <f>"John Emsley"</f>
        <v>John Emsley</v>
      </c>
      <c r="G1292" t="str">
        <f>"arzinbooks"</f>
        <v>arzinbooks</v>
      </c>
    </row>
    <row r="1293" spans="1:7" x14ac:dyDescent="0.25">
      <c r="A1293" t="str">
        <f>"Molecules That Amaze Us"</f>
        <v>Molecules That Amaze Us</v>
      </c>
      <c r="B1293" t="str">
        <f>"9781466589605"</f>
        <v>9781466589605</v>
      </c>
      <c r="C1293">
        <v>35.700000000000003</v>
      </c>
      <c r="D1293" t="str">
        <f>"GBP"</f>
        <v>GBP</v>
      </c>
      <c r="E1293" t="str">
        <f>"2015"</f>
        <v>2015</v>
      </c>
      <c r="F1293" t="str">
        <f>"Simon Cotton"</f>
        <v>Simon Cotton</v>
      </c>
      <c r="G1293" t="str">
        <f>"AsarBartar"</f>
        <v>AsarBartar</v>
      </c>
    </row>
    <row r="1294" spans="1:7" x14ac:dyDescent="0.25">
      <c r="A1294" t="str">
        <f>"Molten Salts and Ionic Liquids: Never the Twain?"</f>
        <v>Molten Salts and Ionic Liquids: Never the Twain?</v>
      </c>
      <c r="B1294" t="str">
        <f>"9780471773924"</f>
        <v>9780471773924</v>
      </c>
      <c r="C1294">
        <v>64</v>
      </c>
      <c r="D1294" t="str">
        <f>"USD"</f>
        <v>USD</v>
      </c>
      <c r="E1294" t="str">
        <f>"2010"</f>
        <v>2010</v>
      </c>
      <c r="F1294" t="str">
        <f>"Gaune-Escard"</f>
        <v>Gaune-Escard</v>
      </c>
      <c r="G1294" t="str">
        <f>"avanddanesh"</f>
        <v>avanddanesh</v>
      </c>
    </row>
    <row r="1295" spans="1:7" x14ac:dyDescent="0.25">
      <c r="A1295" t="str">
        <f>"Molten Salts Chemistry and Technology"</f>
        <v>Molten Salts Chemistry and Technology</v>
      </c>
      <c r="B1295" t="str">
        <f>"9781118448731"</f>
        <v>9781118448731</v>
      </c>
      <c r="C1295">
        <v>161.30000000000001</v>
      </c>
      <c r="D1295" t="str">
        <f>"USD"</f>
        <v>USD</v>
      </c>
      <c r="E1295" t="str">
        <f>"2014"</f>
        <v>2014</v>
      </c>
      <c r="F1295" t="str">
        <f>"Gaune-Escard"</f>
        <v>Gaune-Escard</v>
      </c>
      <c r="G1295" t="str">
        <f>"avanddanesh"</f>
        <v>avanddanesh</v>
      </c>
    </row>
    <row r="1296" spans="1:7" x14ac:dyDescent="0.25">
      <c r="A1296" t="str">
        <f>"Monolithic Silicas in Separation Science: Concepts, Syntheses, Characterization, Modeling and Applications"</f>
        <v>Monolithic Silicas in Separation Science: Concepts, Syntheses, Characterization, Modeling and Applications</v>
      </c>
      <c r="B1296" t="str">
        <f>"9783527325757"</f>
        <v>9783527325757</v>
      </c>
      <c r="C1296">
        <v>70.400000000000006</v>
      </c>
      <c r="D1296" t="str">
        <f>"USD"</f>
        <v>USD</v>
      </c>
      <c r="E1296" t="str">
        <f>"2011"</f>
        <v>2011</v>
      </c>
      <c r="F1296" t="str">
        <f>"Unger"</f>
        <v>Unger</v>
      </c>
      <c r="G1296" t="str">
        <f>"avanddanesh"</f>
        <v>avanddanesh</v>
      </c>
    </row>
    <row r="1297" spans="1:7" x14ac:dyDescent="0.25">
      <c r="A1297" t="str">
        <f>"More Molecules of Murder"</f>
        <v>More Molecules of Murder</v>
      </c>
      <c r="B1297" t="str">
        <f>"9781788011037"</f>
        <v>9781788011037</v>
      </c>
      <c r="C1297">
        <v>16.2</v>
      </c>
      <c r="D1297" t="str">
        <f>"GBP"</f>
        <v>GBP</v>
      </c>
      <c r="E1297" t="str">
        <f>"2017"</f>
        <v>2017</v>
      </c>
      <c r="F1297" t="str">
        <f>"John Emsley"</f>
        <v>John Emsley</v>
      </c>
      <c r="G1297" t="str">
        <f>"arzinbooks"</f>
        <v>arzinbooks</v>
      </c>
    </row>
    <row r="1298" spans="1:7" x14ac:dyDescent="0.25">
      <c r="A1298" t="str">
        <f>"Morphological, Compositional, and Shape Control of Materials for Catalysis, Volume177"</f>
        <v>Morphological, Compositional, and Shape Control of Materials for Catalysis, Volume177</v>
      </c>
      <c r="B1298" t="str">
        <f>"9780128050866"</f>
        <v>9780128050866</v>
      </c>
      <c r="C1298">
        <v>229.5</v>
      </c>
      <c r="D1298" t="str">
        <f>"USD"</f>
        <v>USD</v>
      </c>
      <c r="E1298" t="str">
        <f>"2017"</f>
        <v>2017</v>
      </c>
      <c r="F1298" t="str">
        <f>"Fornasiero and Cargn"</f>
        <v>Fornasiero and Cargn</v>
      </c>
      <c r="G1298" t="str">
        <f>"dehkadehketab"</f>
        <v>dehkadehketab</v>
      </c>
    </row>
    <row r="1299" spans="1:7" x14ac:dyDescent="0.25">
      <c r="A1299" t="str">
        <f>"Morphology of Electrochemically and Chemically Deposited Metals"</f>
        <v>Morphology of Electrochemically and Chemically Deposited Metals</v>
      </c>
      <c r="B1299" t="str">
        <f>"9783319260716"</f>
        <v>9783319260716</v>
      </c>
      <c r="C1299">
        <v>98.99</v>
      </c>
      <c r="D1299" t="str">
        <f>"EUR"</f>
        <v>EUR</v>
      </c>
      <c r="E1299" t="str">
        <f>"2016"</f>
        <v>2016</v>
      </c>
      <c r="F1299" t="str">
        <f>"Popov"</f>
        <v>Popov</v>
      </c>
      <c r="G1299" t="str">
        <f>"negarestanabi"</f>
        <v>negarestanabi</v>
      </c>
    </row>
    <row r="1300" spans="1:7" x14ac:dyDescent="0.25">
      <c r="A1300" t="str">
        <f>"MRI at a Glance,3e"</f>
        <v>MRI at a Glance,3e</v>
      </c>
      <c r="B1300" t="str">
        <f>"9781119053552"</f>
        <v>9781119053552</v>
      </c>
      <c r="C1300">
        <v>30</v>
      </c>
      <c r="D1300" t="str">
        <f>"USD"</f>
        <v>USD</v>
      </c>
      <c r="E1300" t="str">
        <f>"2015"</f>
        <v>2015</v>
      </c>
      <c r="F1300" t="str">
        <f>"Westbrook"</f>
        <v>Westbrook</v>
      </c>
      <c r="G1300" t="str">
        <f>"avanddanesh"</f>
        <v>avanddanesh</v>
      </c>
    </row>
    <row r="1301" spans="1:7" x14ac:dyDescent="0.25">
      <c r="A1301" t="str">
        <f>"MTLC SYSTMS QNTUM CHMSTS PRSPT"</f>
        <v>MTLC SYSTMS QNTUM CHMSTS PRSPT</v>
      </c>
      <c r="B1301" t="str">
        <f>"9781420060775"</f>
        <v>9781420060775</v>
      </c>
      <c r="C1301">
        <v>28.5</v>
      </c>
      <c r="D1301" t="str">
        <f>"GBP"</f>
        <v>GBP</v>
      </c>
      <c r="E1301" t="str">
        <f>"2011"</f>
        <v>2011</v>
      </c>
      <c r="F1301" t="str">
        <f>"CARLOS A. GONZALEZ("</f>
        <v>CARLOS A. GONZALEZ(</v>
      </c>
      <c r="G1301" t="str">
        <f>"AsarBartar"</f>
        <v>AsarBartar</v>
      </c>
    </row>
    <row r="1302" spans="1:7" x14ac:dyDescent="0.25">
      <c r="A1302" t="str">
        <f>"Multi Length-Scale Characterisation: Inorganic Materials Series"</f>
        <v>Multi Length-Scale Characterisation: Inorganic Materials Series</v>
      </c>
      <c r="B1302" t="str">
        <f>"9781119953197"</f>
        <v>9781119953197</v>
      </c>
      <c r="C1302">
        <v>78.8</v>
      </c>
      <c r="D1302" t="str">
        <f>"USD"</f>
        <v>USD</v>
      </c>
      <c r="E1302" t="str">
        <f>"2014"</f>
        <v>2014</v>
      </c>
      <c r="F1302" t="str">
        <f>"Bruce"</f>
        <v>Bruce</v>
      </c>
      <c r="G1302" t="str">
        <f>"avanddanesh"</f>
        <v>avanddanesh</v>
      </c>
    </row>
    <row r="1303" spans="1:7" x14ac:dyDescent="0.25">
      <c r="A1303" t="str">
        <f>"Multicomponent Reactions, Volume 1"</f>
        <v>Multicomponent Reactions, Volume 1</v>
      </c>
      <c r="B1303" t="str">
        <f>"9783131728616"</f>
        <v>9783131728616</v>
      </c>
      <c r="C1303">
        <v>195</v>
      </c>
      <c r="D1303" t="str">
        <f>"EUR"</f>
        <v>EUR</v>
      </c>
      <c r="E1303" t="str">
        <f>"2014"</f>
        <v>2014</v>
      </c>
      <c r="F1303" t="str">
        <f>"Muller"</f>
        <v>Muller</v>
      </c>
      <c r="G1303" t="str">
        <f>"Parsian Publication"</f>
        <v>Parsian Publication</v>
      </c>
    </row>
    <row r="1304" spans="1:7" x14ac:dyDescent="0.25">
      <c r="A1304" t="str">
        <f>"Multicomponent Reactions, Volume 2"</f>
        <v>Multicomponent Reactions, Volume 2</v>
      </c>
      <c r="B1304" t="str">
        <f>"9783131728517"</f>
        <v>9783131728517</v>
      </c>
      <c r="C1304">
        <v>195</v>
      </c>
      <c r="D1304" t="str">
        <f>"EUR"</f>
        <v>EUR</v>
      </c>
      <c r="E1304" t="str">
        <f>"2014"</f>
        <v>2014</v>
      </c>
      <c r="F1304" t="str">
        <f>"Muller"</f>
        <v>Muller</v>
      </c>
      <c r="G1304" t="str">
        <f>"Parsian Publication"</f>
        <v>Parsian Publication</v>
      </c>
    </row>
    <row r="1305" spans="1:7" x14ac:dyDescent="0.25">
      <c r="A1305" t="str">
        <f>"Multicomponent Reactions: Concepts and Applications for Design and Synthesis"</f>
        <v>Multicomponent Reactions: Concepts and Applications for Design and Synthesis</v>
      </c>
      <c r="B1305" t="str">
        <f>"9781118016008"</f>
        <v>9781118016008</v>
      </c>
      <c r="C1305">
        <v>156</v>
      </c>
      <c r="D1305" t="str">
        <f>"USD"</f>
        <v>USD</v>
      </c>
      <c r="E1305" t="str">
        <f>"2015"</f>
        <v>2015</v>
      </c>
      <c r="F1305" t="str">
        <f>"Herrera"</f>
        <v>Herrera</v>
      </c>
      <c r="G1305" t="str">
        <f>"avanddanesh"</f>
        <v>avanddanesh</v>
      </c>
    </row>
    <row r="1306" spans="1:7" x14ac:dyDescent="0.25">
      <c r="A1306" t="str">
        <f>"Multiconfigurational Quantum Chemistry"</f>
        <v>Multiconfigurational Quantum Chemistry</v>
      </c>
      <c r="B1306" t="str">
        <f>"9780470633465"</f>
        <v>9780470633465</v>
      </c>
      <c r="C1306">
        <v>106.3</v>
      </c>
      <c r="D1306" t="str">
        <f>"USD"</f>
        <v>USD</v>
      </c>
      <c r="E1306" t="str">
        <f>"2016"</f>
        <v>2016</v>
      </c>
      <c r="F1306" t="str">
        <f>"Roos"</f>
        <v>Roos</v>
      </c>
      <c r="G1306" t="str">
        <f>"avanddanesh"</f>
        <v>avanddanesh</v>
      </c>
    </row>
    <row r="1307" spans="1:7" x14ac:dyDescent="0.25">
      <c r="A1307" t="str">
        <f>"Multidimensional Quantum Dynamics:MCTDH Theory and Applications"</f>
        <v>Multidimensional Quantum Dynamics:MCTDH Theory and Applications</v>
      </c>
      <c r="B1307" t="str">
        <f>"9783527320189"</f>
        <v>9783527320189</v>
      </c>
      <c r="C1307">
        <v>168.75</v>
      </c>
      <c r="D1307" t="str">
        <f>"USD"</f>
        <v>USD</v>
      </c>
      <c r="E1307" t="str">
        <f>"2009"</f>
        <v>2009</v>
      </c>
      <c r="F1307" t="str">
        <f>"Meyer"</f>
        <v>Meyer</v>
      </c>
      <c r="G1307" t="str">
        <f>"safirketab"</f>
        <v>safirketab</v>
      </c>
    </row>
    <row r="1308" spans="1:7" x14ac:dyDescent="0.25">
      <c r="A1308" t="str">
        <f>"Multifrequency Electron Paramagnetic Resonance: Data And Techniques"</f>
        <v>Multifrequency Electron Paramagnetic Resonance: Data And Techniques</v>
      </c>
      <c r="B1308" t="str">
        <f>"9783527412228"</f>
        <v>9783527412228</v>
      </c>
      <c r="C1308">
        <v>135</v>
      </c>
      <c r="D1308" t="str">
        <f>"USD"</f>
        <v>USD</v>
      </c>
      <c r="E1308" t="str">
        <f>"2014"</f>
        <v>2014</v>
      </c>
      <c r="F1308" t="str">
        <f>"Misra"</f>
        <v>Misra</v>
      </c>
      <c r="G1308" t="str">
        <f>"avanddanesh"</f>
        <v>avanddanesh</v>
      </c>
    </row>
    <row r="1309" spans="1:7" x14ac:dyDescent="0.25">
      <c r="A1309" t="str">
        <f>"Multifunctional Molecular Magnets Based on Octacyanidometalates"</f>
        <v>Multifunctional Molecular Magnets Based on Octacyanidometalates</v>
      </c>
      <c r="B1309" t="str">
        <f>"9789811061349"</f>
        <v>9789811061349</v>
      </c>
      <c r="C1309">
        <v>98.99</v>
      </c>
      <c r="D1309" t="str">
        <f>"EUR"</f>
        <v>EUR</v>
      </c>
      <c r="E1309" t="str">
        <f>"2017"</f>
        <v>2017</v>
      </c>
      <c r="F1309" t="str">
        <f>"Imoto"</f>
        <v>Imoto</v>
      </c>
      <c r="G1309" t="str">
        <f>"negarestanabi"</f>
        <v>negarestanabi</v>
      </c>
    </row>
    <row r="1310" spans="1:7" x14ac:dyDescent="0.25">
      <c r="A1310" t="str">
        <f>"Multifunctional Nanocomposites for Energy and Environmental Applications"</f>
        <v>Multifunctional Nanocomposites for Energy and Environmental Applications</v>
      </c>
      <c r="B1310" t="str">
        <f>"9783527342136"</f>
        <v>9783527342136</v>
      </c>
      <c r="C1310">
        <v>364.5</v>
      </c>
      <c r="D1310" t="str">
        <f t="shared" ref="D1310:D1326" si="86">"USD"</f>
        <v>USD</v>
      </c>
      <c r="E1310" t="str">
        <f>"2018"</f>
        <v>2018</v>
      </c>
      <c r="F1310" t="str">
        <f>"Guo"</f>
        <v>Guo</v>
      </c>
      <c r="G1310" t="str">
        <f>"avanddanesh"</f>
        <v>avanddanesh</v>
      </c>
    </row>
    <row r="1311" spans="1:7" x14ac:dyDescent="0.25">
      <c r="A1311" t="str">
        <f>"Multiphase Catalytic Reactors: Theory, Design, Manufacturing, and Applications"</f>
        <v>Multiphase Catalytic Reactors: Theory, Design, Manufacturing, and Applications</v>
      </c>
      <c r="B1311" t="str">
        <f>"9781118115763"</f>
        <v>9781118115763</v>
      </c>
      <c r="C1311">
        <v>127.5</v>
      </c>
      <c r="D1311" t="str">
        <f t="shared" si="86"/>
        <v>USD</v>
      </c>
      <c r="E1311" t="str">
        <f>"2016"</f>
        <v>2016</v>
      </c>
      <c r="F1311" t="str">
        <f>"nsan"</f>
        <v>nsan</v>
      </c>
      <c r="G1311" t="str">
        <f>"avanddanesh"</f>
        <v>avanddanesh</v>
      </c>
    </row>
    <row r="1312" spans="1:7" x14ac:dyDescent="0.25">
      <c r="A1312" t="str">
        <f>"Multiphase Homogeneous Catalysis 2Vols Ser"</f>
        <v>Multiphase Homogeneous Catalysis 2Vols Ser</v>
      </c>
      <c r="B1312" t="str">
        <f>"9783527307210"</f>
        <v>9783527307210</v>
      </c>
      <c r="C1312">
        <v>309</v>
      </c>
      <c r="D1312" t="str">
        <f t="shared" si="86"/>
        <v>USD</v>
      </c>
      <c r="E1312" t="str">
        <f>"2005"</f>
        <v>2005</v>
      </c>
      <c r="F1312" t="str">
        <f>"Cornils"</f>
        <v>Cornils</v>
      </c>
      <c r="G1312" t="str">
        <f>"safirketab"</f>
        <v>safirketab</v>
      </c>
    </row>
    <row r="1313" spans="1:7" x14ac:dyDescent="0.25">
      <c r="A1313" t="str">
        <f>"Multiple Emulsion: Technology and Applications"</f>
        <v>Multiple Emulsion: Technology and Applications</v>
      </c>
      <c r="B1313" t="str">
        <f>"9780470170939"</f>
        <v>9780470170939</v>
      </c>
      <c r="C1313">
        <v>111</v>
      </c>
      <c r="D1313" t="str">
        <f t="shared" si="86"/>
        <v>USD</v>
      </c>
      <c r="E1313" t="str">
        <f>"2008"</f>
        <v>2008</v>
      </c>
      <c r="F1313" t="str">
        <f>"Aserin"</f>
        <v>Aserin</v>
      </c>
      <c r="G1313" t="str">
        <f>"safirketab"</f>
        <v>safirketab</v>
      </c>
    </row>
    <row r="1314" spans="1:7" x14ac:dyDescent="0.25">
      <c r="A1314" t="str">
        <f>"Multiscale Modeling of Particle Interactions: Applications in Biology and Nanotechnology"</f>
        <v>Multiscale Modeling of Particle Interactions: Applications in Biology and Nanotechnology</v>
      </c>
      <c r="B1314" t="str">
        <f>"9780470242353"</f>
        <v>9780470242353</v>
      </c>
      <c r="C1314">
        <v>64</v>
      </c>
      <c r="D1314" t="str">
        <f t="shared" si="86"/>
        <v>USD</v>
      </c>
      <c r="E1314" t="str">
        <f>"2010"</f>
        <v>2010</v>
      </c>
      <c r="F1314" t="str">
        <f>"King"</f>
        <v>King</v>
      </c>
      <c r="G1314" t="str">
        <f>"avanddanesh"</f>
        <v>avanddanesh</v>
      </c>
    </row>
    <row r="1315" spans="1:7" x14ac:dyDescent="0.25">
      <c r="A1315" t="str">
        <f>"Multiscale Simulation Methods for Nanomaterials"</f>
        <v>Multiscale Simulation Methods for Nanomaterials</v>
      </c>
      <c r="B1315" t="str">
        <f>"9780470105283"</f>
        <v>9780470105283</v>
      </c>
      <c r="C1315">
        <v>87</v>
      </c>
      <c r="D1315" t="str">
        <f t="shared" si="86"/>
        <v>USD</v>
      </c>
      <c r="E1315" t="str">
        <f>"2008"</f>
        <v>2008</v>
      </c>
      <c r="F1315" t="str">
        <f>"Ross"</f>
        <v>Ross</v>
      </c>
      <c r="G1315" t="str">
        <f>"safirketab"</f>
        <v>safirketab</v>
      </c>
    </row>
    <row r="1316" spans="1:7" x14ac:dyDescent="0.25">
      <c r="A1316" t="str">
        <f>"Multi-Step Enzyme Catalysis: Biotransformations and Chemoenzymatic Synthesis"</f>
        <v>Multi-Step Enzyme Catalysis: Biotransformations and Chemoenzymatic Synthesis</v>
      </c>
      <c r="B1316" t="str">
        <f>"9783527319213"</f>
        <v>9783527319213</v>
      </c>
      <c r="C1316">
        <v>76.8</v>
      </c>
      <c r="D1316" t="str">
        <f t="shared" si="86"/>
        <v>USD</v>
      </c>
      <c r="E1316" t="str">
        <f>"2008"</f>
        <v>2008</v>
      </c>
      <c r="F1316" t="str">
        <f>"Garcia-Junceda"</f>
        <v>Garcia-Junceda</v>
      </c>
      <c r="G1316" t="str">
        <f>"avanddanesh"</f>
        <v>avanddanesh</v>
      </c>
    </row>
    <row r="1317" spans="1:7" x14ac:dyDescent="0.25">
      <c r="A1317" t="str">
        <f>"Multi-Step Enzyme Catalysis: Biotransformations and Chemoenzymatic Synthesis"</f>
        <v>Multi-Step Enzyme Catalysis: Biotransformations and Chemoenzymatic Synthesis</v>
      </c>
      <c r="B1317" t="str">
        <f>"9783527319213"</f>
        <v>9783527319213</v>
      </c>
      <c r="C1317">
        <v>76.8</v>
      </c>
      <c r="D1317" t="str">
        <f t="shared" si="86"/>
        <v>USD</v>
      </c>
      <c r="E1317" t="str">
        <f>"2008"</f>
        <v>2008</v>
      </c>
      <c r="F1317" t="str">
        <f>"Garcia-Junceda"</f>
        <v>Garcia-Junceda</v>
      </c>
      <c r="G1317" t="str">
        <f>"safirketab"</f>
        <v>safirketab</v>
      </c>
    </row>
    <row r="1318" spans="1:7" x14ac:dyDescent="0.25">
      <c r="A1318" t="str">
        <f>"Multi-Step Organic Synthesis: A Guide Through Experiments"</f>
        <v>Multi-Step Organic Synthesis: A Guide Through Experiments</v>
      </c>
      <c r="B1318" t="str">
        <f>"9783527340651"</f>
        <v>9783527340651</v>
      </c>
      <c r="C1318">
        <v>67.5</v>
      </c>
      <c r="D1318" t="str">
        <f t="shared" si="86"/>
        <v>USD</v>
      </c>
      <c r="E1318" t="str">
        <f>"2017"</f>
        <v>2017</v>
      </c>
      <c r="F1318" t="str">
        <f>"Bogliotti"</f>
        <v>Bogliotti</v>
      </c>
      <c r="G1318" t="str">
        <f>"avanddanesh"</f>
        <v>avanddanesh</v>
      </c>
    </row>
    <row r="1319" spans="1:7" x14ac:dyDescent="0.25">
      <c r="A1319" t="str">
        <f>"Multivalency: Concepts, Research and Applications"</f>
        <v>Multivalency: Concepts, Research and Applications</v>
      </c>
      <c r="B1319" t="str">
        <f>"9781119143468"</f>
        <v>9781119143468</v>
      </c>
      <c r="C1319">
        <v>108</v>
      </c>
      <c r="D1319" t="str">
        <f t="shared" si="86"/>
        <v>USD</v>
      </c>
      <c r="E1319" t="str">
        <f>"2018"</f>
        <v>2018</v>
      </c>
      <c r="F1319" t="str">
        <f>"Huskens"</f>
        <v>Huskens</v>
      </c>
      <c r="G1319" t="str">
        <f>"avanddanesh"</f>
        <v>avanddanesh</v>
      </c>
    </row>
    <row r="1320" spans="1:7" x14ac:dyDescent="0.25">
      <c r="A1320" t="str">
        <f>"My Life in the Golden Age of Chemistry, More Fun Than Fun"</f>
        <v>My Life in the Golden Age of Chemistry, More Fun Than Fun</v>
      </c>
      <c r="B1320" t="str">
        <f>"9780128102312"</f>
        <v>9780128102312</v>
      </c>
      <c r="C1320">
        <v>58.45</v>
      </c>
      <c r="D1320" t="str">
        <f t="shared" si="86"/>
        <v>USD</v>
      </c>
      <c r="E1320" t="str">
        <f>"2017"</f>
        <v>2017</v>
      </c>
      <c r="F1320" t="str">
        <f>"Cotton"</f>
        <v>Cotton</v>
      </c>
      <c r="G1320" t="str">
        <f>"dehkadehketab"</f>
        <v>dehkadehketab</v>
      </c>
    </row>
    <row r="1321" spans="1:7" x14ac:dyDescent="0.25">
      <c r="A1321" t="str">
        <f>"Name Reactions for Carbocyclic Ring Formations"</f>
        <v>Name Reactions for Carbocyclic Ring Formations</v>
      </c>
      <c r="B1321" t="str">
        <f>"9780470085066"</f>
        <v>9780470085066</v>
      </c>
      <c r="C1321">
        <v>126</v>
      </c>
      <c r="D1321" t="str">
        <f t="shared" si="86"/>
        <v>USD</v>
      </c>
      <c r="E1321" t="str">
        <f>"2010"</f>
        <v>2010</v>
      </c>
      <c r="F1321" t="str">
        <f>"Li"</f>
        <v>Li</v>
      </c>
      <c r="G1321" t="str">
        <f>"safirketab"</f>
        <v>safirketab</v>
      </c>
    </row>
    <row r="1322" spans="1:7" x14ac:dyDescent="0.25">
      <c r="A1322" t="str">
        <f>"Name Reactions for Homologation 2V Set"</f>
        <v>Name Reactions for Homologation 2V Set</v>
      </c>
      <c r="B1322" t="str">
        <f>"9780470467213"</f>
        <v>9780470467213</v>
      </c>
      <c r="C1322">
        <v>189</v>
      </c>
      <c r="D1322" t="str">
        <f t="shared" si="86"/>
        <v>USD</v>
      </c>
      <c r="E1322" t="str">
        <f>"2009"</f>
        <v>2009</v>
      </c>
      <c r="F1322" t="str">
        <f>"Li"</f>
        <v>Li</v>
      </c>
      <c r="G1322" t="str">
        <f>"safirketab"</f>
        <v>safirketab</v>
      </c>
    </row>
    <row r="1323" spans="1:7" x14ac:dyDescent="0.25">
      <c r="A1323" t="str">
        <f>"Name Reactions Series ,5V Set"</f>
        <v>Name Reactions Series ,5V Set</v>
      </c>
      <c r="B1323" t="str">
        <f>"9780470940327"</f>
        <v>9780470940327</v>
      </c>
      <c r="C1323">
        <v>596.25</v>
      </c>
      <c r="D1323" t="str">
        <f t="shared" si="86"/>
        <v>USD</v>
      </c>
      <c r="E1323" t="str">
        <f>"2010"</f>
        <v>2010</v>
      </c>
      <c r="F1323" t="str">
        <f>"Li"</f>
        <v>Li</v>
      </c>
      <c r="G1323" t="str">
        <f>"safirketab"</f>
        <v>safirketab</v>
      </c>
    </row>
    <row r="1324" spans="1:7" x14ac:dyDescent="0.25">
      <c r="A1324" t="str">
        <f>"Nano- and Biomaterials: Compounds, Properties, Characterization, and Applications"</f>
        <v>Nano- and Biomaterials: Compounds, Properties, Characterization, and Applications</v>
      </c>
      <c r="B1324" t="str">
        <f>"9783527342709"</f>
        <v>9783527342709</v>
      </c>
      <c r="C1324">
        <v>171</v>
      </c>
      <c r="D1324" t="str">
        <f t="shared" si="86"/>
        <v>USD</v>
      </c>
      <c r="E1324" t="str">
        <f>"2017"</f>
        <v>2017</v>
      </c>
      <c r="F1324" t="str">
        <f>"Abdullaeva"</f>
        <v>Abdullaeva</v>
      </c>
      <c r="G1324" t="str">
        <f>"avanddanesh"</f>
        <v>avanddanesh</v>
      </c>
    </row>
    <row r="1325" spans="1:7" x14ac:dyDescent="0.25">
      <c r="A1325" t="str">
        <f>"Nanocarbons for Electroanalysis"</f>
        <v>Nanocarbons for Electroanalysis</v>
      </c>
      <c r="B1325" t="str">
        <f>"9781119243908"</f>
        <v>9781119243908</v>
      </c>
      <c r="C1325">
        <v>135</v>
      </c>
      <c r="D1325" t="str">
        <f t="shared" si="86"/>
        <v>USD</v>
      </c>
      <c r="E1325" t="str">
        <f>"2017"</f>
        <v>2017</v>
      </c>
      <c r="F1325" t="str">
        <f>"Szunerits"</f>
        <v>Szunerits</v>
      </c>
      <c r="G1325" t="str">
        <f>"avanddanesh"</f>
        <v>avanddanesh</v>
      </c>
    </row>
    <row r="1326" spans="1:7" x14ac:dyDescent="0.25">
      <c r="A1326" t="str">
        <f>"Nanocatalysis in Ionic Liquids"</f>
        <v>Nanocatalysis in Ionic Liquids</v>
      </c>
      <c r="B1326" t="str">
        <f>"9783527339105"</f>
        <v>9783527339105</v>
      </c>
      <c r="C1326">
        <v>174.3</v>
      </c>
      <c r="D1326" t="str">
        <f t="shared" si="86"/>
        <v>USD</v>
      </c>
      <c r="E1326" t="str">
        <f>"2016"</f>
        <v>2016</v>
      </c>
      <c r="F1326" t="str">
        <f>"Prechtl"</f>
        <v>Prechtl</v>
      </c>
      <c r="G1326" t="str">
        <f>"avanddanesh"</f>
        <v>avanddanesh</v>
      </c>
    </row>
    <row r="1327" spans="1:7" x14ac:dyDescent="0.25">
      <c r="A1327" t="str">
        <f>"Nanocomposites for Visible Light-induced Photocatalysis"</f>
        <v>Nanocomposites for Visible Light-induced Photocatalysis</v>
      </c>
      <c r="B1327" t="str">
        <f>"9783319624457"</f>
        <v>9783319624457</v>
      </c>
      <c r="C1327">
        <v>152.99</v>
      </c>
      <c r="D1327" t="str">
        <f>"EUR"</f>
        <v>EUR</v>
      </c>
      <c r="E1327" t="str">
        <f>"2017"</f>
        <v>2017</v>
      </c>
      <c r="F1327" t="str">
        <f>"Khan"</f>
        <v>Khan</v>
      </c>
      <c r="G1327" t="str">
        <f>"negarestanabi"</f>
        <v>negarestanabi</v>
      </c>
    </row>
    <row r="1328" spans="1:7" x14ac:dyDescent="0.25">
      <c r="A1328" t="str">
        <f>"Nanolayer Research, Methodology and Technology for Green Chemistry"</f>
        <v>Nanolayer Research, Methodology and Technology for Green Chemistry</v>
      </c>
      <c r="B1328" t="str">
        <f>"9780444637079"</f>
        <v>9780444637079</v>
      </c>
      <c r="C1328">
        <v>207</v>
      </c>
      <c r="D1328" t="str">
        <f>"USD"</f>
        <v>USD</v>
      </c>
      <c r="E1328" t="str">
        <f>"2017"</f>
        <v>2017</v>
      </c>
      <c r="F1328" t="str">
        <f>"Imae"</f>
        <v>Imae</v>
      </c>
      <c r="G1328" t="str">
        <f>"dehkadehketab"</f>
        <v>dehkadehketab</v>
      </c>
    </row>
    <row r="1329" spans="1:7" x14ac:dyDescent="0.25">
      <c r="A1329" t="str">
        <f>"Nanomaterials and Nanocomposites: Zero- to Three-Dimensional Materials and Their Composites"</f>
        <v>Nanomaterials and Nanocomposites: Zero- to Three-Dimensional Materials and Their Composites</v>
      </c>
      <c r="B1329" t="str">
        <f>"9783527337804"</f>
        <v>9783527337804</v>
      </c>
      <c r="C1329">
        <v>195.5</v>
      </c>
      <c r="D1329" t="str">
        <f>"USD"</f>
        <v>USD</v>
      </c>
      <c r="E1329" t="str">
        <f>"2016"</f>
        <v>2016</v>
      </c>
      <c r="F1329" t="str">
        <f>"P. M."</f>
        <v>P. M.</v>
      </c>
      <c r="G1329" t="str">
        <f>"avanddanesh"</f>
        <v>avanddanesh</v>
      </c>
    </row>
    <row r="1330" spans="1:7" x14ac:dyDescent="0.25">
      <c r="A1330" t="str">
        <f>"Nanoparticle Technology Handbook, 3rd Edition"</f>
        <v>Nanoparticle Technology Handbook, 3rd Edition</v>
      </c>
      <c r="B1330" t="str">
        <f>"9780444640765"</f>
        <v>9780444640765</v>
      </c>
      <c r="C1330">
        <v>423</v>
      </c>
      <c r="D1330" t="str">
        <f>"USD"</f>
        <v>USD</v>
      </c>
      <c r="E1330" t="str">
        <f>"2018"</f>
        <v>2018</v>
      </c>
      <c r="F1330" t="str">
        <f>"Naito et al"</f>
        <v>Naito et al</v>
      </c>
      <c r="G1330" t="str">
        <f>"dehkadehketab"</f>
        <v>dehkadehketab</v>
      </c>
    </row>
    <row r="1331" spans="1:7" x14ac:dyDescent="0.25">
      <c r="A1331" t="str">
        <f>"Nanopatterned and Nanoparticle-Modified Electrodes"</f>
        <v>Nanopatterned and Nanoparticle-Modified Electrodes</v>
      </c>
      <c r="B1331" t="str">
        <f>"9783527340927"</f>
        <v>9783527340927</v>
      </c>
      <c r="C1331">
        <v>184.5</v>
      </c>
      <c r="D1331" t="str">
        <f>"USD"</f>
        <v>USD</v>
      </c>
      <c r="E1331" t="str">
        <f>"2017"</f>
        <v>2017</v>
      </c>
      <c r="F1331" t="str">
        <f>"Alkire"</f>
        <v>Alkire</v>
      </c>
      <c r="G1331" t="str">
        <f>"avanddanesh"</f>
        <v>avanddanesh</v>
      </c>
    </row>
    <row r="1332" spans="1:7" x14ac:dyDescent="0.25">
      <c r="A1332" t="str">
        <f>"Nanoporous Catalysts for Biomass Conversion"</f>
        <v>Nanoporous Catalysts for Biomass Conversion</v>
      </c>
      <c r="B1332" t="str">
        <f>"9781119128083"</f>
        <v>9781119128083</v>
      </c>
      <c r="C1332">
        <v>130.5</v>
      </c>
      <c r="D1332" t="str">
        <f>"USD"</f>
        <v>USD</v>
      </c>
      <c r="E1332" t="str">
        <f>"2017"</f>
        <v>2017</v>
      </c>
      <c r="F1332" t="str">
        <f>"Xiao"</f>
        <v>Xiao</v>
      </c>
      <c r="G1332" t="str">
        <f>"avanddanesh"</f>
        <v>avanddanesh</v>
      </c>
    </row>
    <row r="1333" spans="1:7" x14ac:dyDescent="0.25">
      <c r="A1333" t="str">
        <f>"Nano-SafetyWhat We Need to Know to Protect Workers"</f>
        <v>Nano-SafetyWhat We Need to Know to Protect Workers</v>
      </c>
      <c r="B1333" t="str">
        <f>"9783110373752"</f>
        <v>9783110373752</v>
      </c>
      <c r="C1333">
        <v>62.95</v>
      </c>
      <c r="D1333" t="str">
        <f>"EUR"</f>
        <v>EUR</v>
      </c>
      <c r="E1333" t="str">
        <f>"2017"</f>
        <v>2017</v>
      </c>
      <c r="F1333" t="str">
        <f>"Dominick E. / Trybu"</f>
        <v>Dominick E. / Trybu</v>
      </c>
      <c r="G1333" t="str">
        <f>"AsarBartar"</f>
        <v>AsarBartar</v>
      </c>
    </row>
    <row r="1334" spans="1:7" x14ac:dyDescent="0.25">
      <c r="A1334" t="str">
        <f>"Nanoscale Fluid Transport: From Molecular Signatures to Applications"</f>
        <v>Nanoscale Fluid Transport: From Molecular Signatures to Applications</v>
      </c>
      <c r="B1334" t="str">
        <f>"9783319470023"</f>
        <v>9783319470023</v>
      </c>
      <c r="C1334">
        <v>89.99</v>
      </c>
      <c r="D1334" t="str">
        <f>"EUR"</f>
        <v>EUR</v>
      </c>
      <c r="E1334" t="str">
        <f>"2017"</f>
        <v>2017</v>
      </c>
      <c r="F1334" t="str">
        <f>"Ho"</f>
        <v>Ho</v>
      </c>
      <c r="G1334" t="str">
        <f>"negarestanabi"</f>
        <v>negarestanabi</v>
      </c>
    </row>
    <row r="1335" spans="1:7" x14ac:dyDescent="0.25">
      <c r="A1335" t="str">
        <f>"Nanotechnology in Catalysis: Applications in the Chemical Industry, Energy Development, and Environment Protection, 3V Set"</f>
        <v>Nanotechnology in Catalysis: Applications in the Chemical Industry, Energy Development, and Environment Protection, 3V Set</v>
      </c>
      <c r="B1335" t="str">
        <f>"9783527339143"</f>
        <v>9783527339143</v>
      </c>
      <c r="C1335">
        <v>666</v>
      </c>
      <c r="D1335" t="str">
        <f>"USD"</f>
        <v>USD</v>
      </c>
      <c r="E1335" t="str">
        <f>"2017"</f>
        <v>2017</v>
      </c>
      <c r="F1335" t="str">
        <f>"Sels"</f>
        <v>Sels</v>
      </c>
      <c r="G1335" t="str">
        <f>"avanddanesh"</f>
        <v>avanddanesh</v>
      </c>
    </row>
    <row r="1336" spans="1:7" x14ac:dyDescent="0.25">
      <c r="A1336" t="str">
        <f>"Nanotoxicology : Experimental and Computational Perspectives"</f>
        <v>Nanotoxicology : Experimental and Computational Perspectives</v>
      </c>
      <c r="B1336" t="str">
        <f>"9781782621584"</f>
        <v>9781782621584</v>
      </c>
      <c r="C1336">
        <v>135.19999999999999</v>
      </c>
      <c r="D1336" t="str">
        <f>"GBP"</f>
        <v>GBP</v>
      </c>
      <c r="E1336" t="str">
        <f>"2018"</f>
        <v>2018</v>
      </c>
      <c r="F1336" t="str">
        <f>"Alok Dhawan,Diana An"</f>
        <v>Alok Dhawan,Diana An</v>
      </c>
      <c r="G1336" t="str">
        <f>"arzinbooks"</f>
        <v>arzinbooks</v>
      </c>
    </row>
    <row r="1337" spans="1:7" x14ac:dyDescent="0.25">
      <c r="A1337" t="str">
        <f>"Natural and Laboratory Simulated Thermal Geochemical Processes"</f>
        <v>Natural and Laboratory Simulated Thermal Geochemical Processes</v>
      </c>
      <c r="B1337" t="str">
        <f>"9781402013447"</f>
        <v>9781402013447</v>
      </c>
      <c r="C1337">
        <v>136</v>
      </c>
      <c r="D1337" t="str">
        <f>"USD"</f>
        <v>USD</v>
      </c>
      <c r="E1337" t="str">
        <f>"2003"</f>
        <v>2003</v>
      </c>
      <c r="F1337" t="str">
        <f>"Ikan,R.(Ed.)"</f>
        <v>Ikan,R.(Ed.)</v>
      </c>
      <c r="G1337" t="str">
        <f>"safirketab"</f>
        <v>safirketab</v>
      </c>
    </row>
    <row r="1338" spans="1:7" x14ac:dyDescent="0.25">
      <c r="A1338" t="str">
        <f>"Natural Products Analysis: Instrumentation, Methods, and Applications"</f>
        <v>Natural Products Analysis: Instrumentation, Methods, and Applications</v>
      </c>
      <c r="B1338" t="str">
        <f>"9781118466612"</f>
        <v>9781118466612</v>
      </c>
      <c r="C1338">
        <v>116.3</v>
      </c>
      <c r="D1338" t="str">
        <f>"USD"</f>
        <v>USD</v>
      </c>
      <c r="E1338" t="str">
        <f>"2014"</f>
        <v>2014</v>
      </c>
      <c r="F1338" t="str">
        <f>"Havlicek"</f>
        <v>Havlicek</v>
      </c>
      <c r="G1338" t="str">
        <f>"avanddanesh"</f>
        <v>avanddanesh</v>
      </c>
    </row>
    <row r="1339" spans="1:7" x14ac:dyDescent="0.25">
      <c r="A1339" t="str">
        <f>"Natural Products Desk Reference"</f>
        <v>Natural Products Desk Reference</v>
      </c>
      <c r="B1339" t="str">
        <f>"9781439873618"</f>
        <v>9781439873618</v>
      </c>
      <c r="C1339">
        <v>74.8</v>
      </c>
      <c r="D1339" t="str">
        <f>"GBP"</f>
        <v>GBP</v>
      </c>
      <c r="E1339" t="str">
        <f>"2016"</f>
        <v>2016</v>
      </c>
      <c r="F1339" t="str">
        <f>"John Buckingham,Car"</f>
        <v>John Buckingham,Car</v>
      </c>
      <c r="G1339" t="str">
        <f>"AsarBartar"</f>
        <v>AsarBartar</v>
      </c>
    </row>
    <row r="1340" spans="1:7" x14ac:dyDescent="0.25">
      <c r="A1340" t="str">
        <f>"Natural Products in Chemical Biology"</f>
        <v>Natural Products in Chemical Biology</v>
      </c>
      <c r="B1340" t="str">
        <f>"9781118101179"</f>
        <v>9781118101179</v>
      </c>
      <c r="C1340">
        <v>82.2</v>
      </c>
      <c r="D1340" t="str">
        <f t="shared" ref="D1340:D1345" si="87">"USD"</f>
        <v>USD</v>
      </c>
      <c r="E1340" t="str">
        <f>"2012"</f>
        <v>2012</v>
      </c>
      <c r="F1340" t="str">
        <f>"Civjan"</f>
        <v>Civjan</v>
      </c>
      <c r="G1340" t="str">
        <f>"avanddanesh"</f>
        <v>avanddanesh</v>
      </c>
    </row>
    <row r="1341" spans="1:7" x14ac:dyDescent="0.25">
      <c r="A1341" t="str">
        <f>"Natural Products: Discourse, Diversity and Design"</f>
        <v>Natural Products: Discourse, Diversity and Design</v>
      </c>
      <c r="B1341" t="str">
        <f>"9781118298060"</f>
        <v>9781118298060</v>
      </c>
      <c r="C1341">
        <v>159.69999999999999</v>
      </c>
      <c r="D1341" t="str">
        <f t="shared" si="87"/>
        <v>USD</v>
      </c>
      <c r="E1341" t="str">
        <f>"2014"</f>
        <v>2014</v>
      </c>
      <c r="F1341" t="str">
        <f>"Osbourn"</f>
        <v>Osbourn</v>
      </c>
      <c r="G1341" t="str">
        <f>"avanddanesh"</f>
        <v>avanddanesh</v>
      </c>
    </row>
    <row r="1342" spans="1:7" x14ac:dyDescent="0.25">
      <c r="A1342" t="str">
        <f>"Nature of the Mechanical Bond: From Molecules to Machines"</f>
        <v>Nature of the Mechanical Bond: From Molecules to Machines</v>
      </c>
      <c r="B1342" t="str">
        <f>"9781119044000"</f>
        <v>9781119044000</v>
      </c>
      <c r="C1342">
        <v>191.3</v>
      </c>
      <c r="D1342" t="str">
        <f t="shared" si="87"/>
        <v>USD</v>
      </c>
      <c r="E1342" t="str">
        <f>"2016"</f>
        <v>2016</v>
      </c>
      <c r="F1342" t="str">
        <f>"Bruns"</f>
        <v>Bruns</v>
      </c>
      <c r="G1342" t="str">
        <f>"avanddanesh"</f>
        <v>avanddanesh</v>
      </c>
    </row>
    <row r="1343" spans="1:7" x14ac:dyDescent="0.25">
      <c r="A1343" t="str">
        <f>"Neutron Scattering â€“ Applications in Chemistry, Materials Science and Biology, Volume49"</f>
        <v>Neutron Scattering â€“ Applications in Chemistry, Materials Science and Biology, Volume49</v>
      </c>
      <c r="B1343" t="str">
        <f>"9780128053171"</f>
        <v>9780128053171</v>
      </c>
      <c r="C1343">
        <v>193.5</v>
      </c>
      <c r="D1343" t="str">
        <f t="shared" si="87"/>
        <v>USD</v>
      </c>
      <c r="E1343" t="str">
        <f>"2017"</f>
        <v>2017</v>
      </c>
      <c r="F1343" t="str">
        <f>"Fernandez-Alonso and"</f>
        <v>Fernandez-Alonso and</v>
      </c>
      <c r="G1343" t="str">
        <f>"dehkadehketab"</f>
        <v>dehkadehketab</v>
      </c>
    </row>
    <row r="1344" spans="1:7" x14ac:dyDescent="0.25">
      <c r="A1344" t="str">
        <f>"Neutrons in Soft Matter"</f>
        <v>Neutrons in Soft Matter</v>
      </c>
      <c r="B1344" t="str">
        <f>"9780470402528"</f>
        <v>9780470402528</v>
      </c>
      <c r="C1344">
        <v>72.8</v>
      </c>
      <c r="D1344" t="str">
        <f t="shared" si="87"/>
        <v>USD</v>
      </c>
      <c r="E1344" t="str">
        <f>"2011"</f>
        <v>2011</v>
      </c>
      <c r="F1344" t="str">
        <f>"Imae"</f>
        <v>Imae</v>
      </c>
      <c r="G1344" t="str">
        <f>"safirketab"</f>
        <v>safirketab</v>
      </c>
    </row>
    <row r="1345" spans="1:7" x14ac:dyDescent="0.25">
      <c r="A1345" t="str">
        <f>"Neutrons in Soft Matter"</f>
        <v>Neutrons in Soft Matter</v>
      </c>
      <c r="B1345" t="str">
        <f>"9780470402528"</f>
        <v>9780470402528</v>
      </c>
      <c r="C1345">
        <v>72.8</v>
      </c>
      <c r="D1345" t="str">
        <f t="shared" si="87"/>
        <v>USD</v>
      </c>
      <c r="E1345" t="str">
        <f>"2011"</f>
        <v>2011</v>
      </c>
      <c r="F1345" t="str">
        <f>"Imae"</f>
        <v>Imae</v>
      </c>
      <c r="G1345" t="str">
        <f>"avanddanesh"</f>
        <v>avanddanesh</v>
      </c>
    </row>
    <row r="1346" spans="1:7" x14ac:dyDescent="0.25">
      <c r="A1346" t="str">
        <f>"New Aspects of Quantum Electrodynamics"</f>
        <v>New Aspects of Quantum Electrodynamics</v>
      </c>
      <c r="B1346" t="str">
        <f>"9789811031311"</f>
        <v>9789811031311</v>
      </c>
      <c r="C1346">
        <v>107.99</v>
      </c>
      <c r="D1346" t="str">
        <f>"EUR"</f>
        <v>EUR</v>
      </c>
      <c r="E1346" t="str">
        <f>"2017"</f>
        <v>2017</v>
      </c>
      <c r="F1346" t="str">
        <f>"Tachibana"</f>
        <v>Tachibana</v>
      </c>
      <c r="G1346" t="str">
        <f>"negarestanabi"</f>
        <v>negarestanabi</v>
      </c>
    </row>
    <row r="1347" spans="1:7" x14ac:dyDescent="0.25">
      <c r="A1347" t="str">
        <f>"New Chemistry and New Opportunities from the Expanding Protein Universe: Proceedings of the 23rd International Solvay Conference on Chemistry: Hotel"</f>
        <v>New Chemistry and New Opportunities from the Expanding Protein Universe: Proceedings of the 23rd International Solvay Conference on Chemistry: Hotel</v>
      </c>
      <c r="B1347" t="str">
        <f>"9789814616560"</f>
        <v>9789814616560</v>
      </c>
      <c r="C1347">
        <v>34</v>
      </c>
      <c r="D1347" t="str">
        <f>"GBP"</f>
        <v>GBP</v>
      </c>
      <c r="E1347" t="str">
        <f>"2015"</f>
        <v>2015</v>
      </c>
      <c r="F1347" t="str">
        <f>"Kurt Wuthrich(Edito"</f>
        <v>Kurt Wuthrich(Edito</v>
      </c>
      <c r="G1347" t="str">
        <f>"AsarBartar"</f>
        <v>AsarBartar</v>
      </c>
    </row>
    <row r="1348" spans="1:7" x14ac:dyDescent="0.25">
      <c r="A1348" t="str">
        <f>"New Horizons in Predictive Drug Metabolism and Pharmacokinetics"</f>
        <v>New Horizons in Predictive Drug Metabolism and Pharmacokinetics</v>
      </c>
      <c r="B1348" t="str">
        <f>"9781849738286"</f>
        <v>9781849738286</v>
      </c>
      <c r="C1348">
        <v>113.8</v>
      </c>
      <c r="D1348" t="str">
        <f>"GBP"</f>
        <v>GBP</v>
      </c>
      <c r="E1348" t="str">
        <f>"2016"</f>
        <v>2016</v>
      </c>
      <c r="F1348" t="str">
        <f>"Wilson"</f>
        <v>Wilson</v>
      </c>
      <c r="G1348" t="str">
        <f>"arzinbooks"</f>
        <v>arzinbooks</v>
      </c>
    </row>
    <row r="1349" spans="1:7" x14ac:dyDescent="0.25">
      <c r="A1349" t="str">
        <f>"New Trends in Cross-Coupling: Theory and Applications"</f>
        <v>New Trends in Cross-Coupling: Theory and Applications</v>
      </c>
      <c r="B1349" t="str">
        <f>"9781849738965"</f>
        <v>9781849738965</v>
      </c>
      <c r="C1349">
        <v>96.3</v>
      </c>
      <c r="D1349" t="str">
        <f>"GBP"</f>
        <v>GBP</v>
      </c>
      <c r="E1349" t="str">
        <f>"2014"</f>
        <v>2014</v>
      </c>
      <c r="F1349" t="str">
        <f>"Thomas ColacotÂ Thoma"</f>
        <v>Thomas ColacotÂ Thoma</v>
      </c>
      <c r="G1349" t="str">
        <f>"arzinbooks"</f>
        <v>arzinbooks</v>
      </c>
    </row>
    <row r="1350" spans="1:7" x14ac:dyDescent="0.25">
      <c r="A1350" t="str">
        <f>"N-Heterocyclic Carbenes in Synthesis"</f>
        <v>N-Heterocyclic Carbenes in Synthesis</v>
      </c>
      <c r="B1350" t="str">
        <f>"9783527314003"</f>
        <v>9783527314003</v>
      </c>
      <c r="C1350">
        <v>96</v>
      </c>
      <c r="D1350" t="str">
        <f t="shared" ref="D1350:D1360" si="88">"USD"</f>
        <v>USD</v>
      </c>
      <c r="E1350" t="str">
        <f>"2006"</f>
        <v>2006</v>
      </c>
      <c r="F1350" t="str">
        <f>"Nolan"</f>
        <v>Nolan</v>
      </c>
      <c r="G1350" t="str">
        <f>"avanddanesh"</f>
        <v>avanddanesh</v>
      </c>
    </row>
    <row r="1351" spans="1:7" x14ac:dyDescent="0.25">
      <c r="A1351" t="str">
        <f>"N-Heterocyclic Carbenes: Effective Tools for Organometallic Synthesis"</f>
        <v>N-Heterocyclic Carbenes: Effective Tools for Organometallic Synthesis</v>
      </c>
      <c r="B1351" t="str">
        <f>"9783527334902"</f>
        <v>9783527334902</v>
      </c>
      <c r="C1351">
        <v>159</v>
      </c>
      <c r="D1351" t="str">
        <f t="shared" si="88"/>
        <v>USD</v>
      </c>
      <c r="E1351" t="str">
        <f>"2014"</f>
        <v>2014</v>
      </c>
      <c r="F1351" t="str">
        <f>"Nolan"</f>
        <v>Nolan</v>
      </c>
      <c r="G1351" t="str">
        <f>"avanddanesh"</f>
        <v>avanddanesh</v>
      </c>
    </row>
    <row r="1352" spans="1:7" x14ac:dyDescent="0.25">
      <c r="A1352" t="str">
        <f>"Nitride Ceramics: Combustion Synthesis, Properties, and Applications"</f>
        <v>Nitride Ceramics: Combustion Synthesis, Properties, and Applications</v>
      </c>
      <c r="B1352" t="str">
        <f>"9783527337552"</f>
        <v>9783527337552</v>
      </c>
      <c r="C1352">
        <v>147</v>
      </c>
      <c r="D1352" t="str">
        <f t="shared" si="88"/>
        <v>USD</v>
      </c>
      <c r="E1352" t="str">
        <f>"2014"</f>
        <v>2014</v>
      </c>
      <c r="F1352" t="str">
        <f>"Gromov"</f>
        <v>Gromov</v>
      </c>
      <c r="G1352" t="str">
        <f>"avanddanesh"</f>
        <v>avanddanesh</v>
      </c>
    </row>
    <row r="1353" spans="1:7" x14ac:dyDescent="0.25">
      <c r="A1353" t="str">
        <f>"Nitrification and Denitrification in the Activated Sludge Process"</f>
        <v>Nitrification and Denitrification in the Activated Sludge Process</v>
      </c>
      <c r="B1353" t="str">
        <f>"9780471065081"</f>
        <v>9780471065081</v>
      </c>
      <c r="C1353">
        <v>51.78</v>
      </c>
      <c r="D1353" t="str">
        <f t="shared" si="88"/>
        <v>USD</v>
      </c>
      <c r="E1353" t="str">
        <f>"2002"</f>
        <v>2002</v>
      </c>
      <c r="F1353" t="str">
        <f>"Michael H. Gerardi"</f>
        <v>Michael H. Gerardi</v>
      </c>
      <c r="G1353" t="str">
        <f>"safirketab"</f>
        <v>safirketab</v>
      </c>
    </row>
    <row r="1354" spans="1:7" x14ac:dyDescent="0.25">
      <c r="A1354" t="str">
        <f>"Nitroxides: Applications in Chemistry, Biomedicine, and Materials Science"</f>
        <v>Nitroxides: Applications in Chemistry, Biomedicine, and Materials Science</v>
      </c>
      <c r="B1354" t="str">
        <f>"9783527318896"</f>
        <v>9783527318896</v>
      </c>
      <c r="C1354">
        <v>146.16</v>
      </c>
      <c r="D1354" t="str">
        <f t="shared" si="88"/>
        <v>USD</v>
      </c>
      <c r="E1354" t="str">
        <f>"2008"</f>
        <v>2008</v>
      </c>
      <c r="F1354" t="str">
        <f>"Likhtenshtein"</f>
        <v>Likhtenshtein</v>
      </c>
      <c r="G1354" t="str">
        <f>"safirketab"</f>
        <v>safirketab</v>
      </c>
    </row>
    <row r="1355" spans="1:7" x14ac:dyDescent="0.25">
      <c r="A1355" t="str">
        <f>"NMR Case Studies, Data Analysis of Complicated Molecules"</f>
        <v>NMR Case Studies, Data Analysis of Complicated Molecules</v>
      </c>
      <c r="B1355" t="str">
        <f>"9780128033425"</f>
        <v>9780128033425</v>
      </c>
      <c r="C1355">
        <v>117</v>
      </c>
      <c r="D1355" t="str">
        <f t="shared" si="88"/>
        <v>USD</v>
      </c>
      <c r="E1355" t="str">
        <f>"2017"</f>
        <v>2017</v>
      </c>
      <c r="F1355" t="str">
        <f>"Simpson"</f>
        <v>Simpson</v>
      </c>
      <c r="G1355" t="str">
        <f>"dehkadehketab"</f>
        <v>dehkadehketab</v>
      </c>
    </row>
    <row r="1356" spans="1:7" x14ac:dyDescent="0.25">
      <c r="A1356" t="str">
        <f>"NMR Crystallography"</f>
        <v>NMR Crystallography</v>
      </c>
      <c r="B1356" t="str">
        <f>"9780470699614"</f>
        <v>9780470699614</v>
      </c>
      <c r="C1356">
        <v>135</v>
      </c>
      <c r="D1356" t="str">
        <f t="shared" si="88"/>
        <v>USD</v>
      </c>
      <c r="E1356" t="str">
        <f>"2010"</f>
        <v>2010</v>
      </c>
      <c r="F1356" t="str">
        <f>"Harris"</f>
        <v>Harris</v>
      </c>
      <c r="G1356" t="str">
        <f>"safirketab"</f>
        <v>safirketab</v>
      </c>
    </row>
    <row r="1357" spans="1:7" x14ac:dyDescent="0.25">
      <c r="A1357" t="str">
        <f>"NMR Data Interpretation Explained: Understanding 1D and 2D NMR Spectra of Organic Compounds and Natural Products"</f>
        <v>NMR Data Interpretation Explained: Understanding 1D and 2D NMR Spectra of Organic Compounds and Natural Products</v>
      </c>
      <c r="B1357" t="str">
        <f>"9781118370223"</f>
        <v>9781118370223</v>
      </c>
      <c r="C1357">
        <v>127.5</v>
      </c>
      <c r="D1357" t="str">
        <f t="shared" si="88"/>
        <v>USD</v>
      </c>
      <c r="E1357" t="str">
        <f>"2016"</f>
        <v>2016</v>
      </c>
      <c r="F1357" t="str">
        <f>"Jacobsen"</f>
        <v>Jacobsen</v>
      </c>
      <c r="G1357" t="str">
        <f>"avanddanesh"</f>
        <v>avanddanesh</v>
      </c>
    </row>
    <row r="1358" spans="1:7" x14ac:dyDescent="0.25">
      <c r="A1358" t="str">
        <f>"NMR in Pharmaceutical Science"</f>
        <v>NMR in Pharmaceutical Science</v>
      </c>
      <c r="B1358" t="str">
        <f>"9781118660256"</f>
        <v>9781118660256</v>
      </c>
      <c r="C1358">
        <v>100</v>
      </c>
      <c r="D1358" t="str">
        <f t="shared" si="88"/>
        <v>USD</v>
      </c>
      <c r="E1358" t="str">
        <f>"2015"</f>
        <v>2015</v>
      </c>
      <c r="F1358" t="str">
        <f>"Harris"</f>
        <v>Harris</v>
      </c>
      <c r="G1358" t="str">
        <f>"avanddanesh"</f>
        <v>avanddanesh</v>
      </c>
    </row>
    <row r="1359" spans="1:7" x14ac:dyDescent="0.25">
      <c r="A1359" t="str">
        <f>"NMR of Quadrupolar Nuclei in Solid Materials"</f>
        <v>NMR of Quadrupolar Nuclei in Solid Materials</v>
      </c>
      <c r="B1359" t="str">
        <f>"9780470973981"</f>
        <v>9780470973981</v>
      </c>
      <c r="C1359">
        <v>99</v>
      </c>
      <c r="D1359" t="str">
        <f t="shared" si="88"/>
        <v>USD</v>
      </c>
      <c r="E1359" t="str">
        <f>"2012"</f>
        <v>2012</v>
      </c>
      <c r="F1359" t="str">
        <f>"Wasylishen"</f>
        <v>Wasylishen</v>
      </c>
      <c r="G1359" t="str">
        <f>"avanddanesh"</f>
        <v>avanddanesh</v>
      </c>
    </row>
    <row r="1360" spans="1:7" x14ac:dyDescent="0.25">
      <c r="A1360" t="str">
        <f>"NMR Spectroscopy: A Versatile Tool for Environmental Research"</f>
        <v>NMR Spectroscopy: A Versatile Tool for Environmental Research</v>
      </c>
      <c r="B1360" t="str">
        <f>"9781118616475"</f>
        <v>9781118616475</v>
      </c>
      <c r="C1360">
        <v>97.5</v>
      </c>
      <c r="D1360" t="str">
        <f t="shared" si="88"/>
        <v>USD</v>
      </c>
      <c r="E1360" t="str">
        <f>"2014"</f>
        <v>2014</v>
      </c>
      <c r="F1360" t="str">
        <f>"Simpson"</f>
        <v>Simpson</v>
      </c>
      <c r="G1360" t="str">
        <f>"avanddanesh"</f>
        <v>avanddanesh</v>
      </c>
    </row>
    <row r="1361" spans="1:7" x14ac:dyDescent="0.25">
      <c r="A1361" t="str">
        <f>"NMR-based Metabolomics"</f>
        <v>NMR-based Metabolomics</v>
      </c>
      <c r="B1361" t="str">
        <f>"9781849736435"</f>
        <v>9781849736435</v>
      </c>
      <c r="C1361">
        <v>143.69999999999999</v>
      </c>
      <c r="D1361" t="str">
        <f>"GBP"</f>
        <v>GBP</v>
      </c>
      <c r="E1361" t="str">
        <f>"2018"</f>
        <v>2018</v>
      </c>
      <c r="F1361" t="str">
        <f>"Hector C Keun"</f>
        <v>Hector C Keun</v>
      </c>
      <c r="G1361" t="str">
        <f>"arzinbooks"</f>
        <v>arzinbooks</v>
      </c>
    </row>
    <row r="1362" spans="1:7" x14ac:dyDescent="0.25">
      <c r="A1362" t="str">
        <f>"Noble Metal Nanoparticles: Preparation. Composite Nanostructures. Biodecoration and Collective Properties"</f>
        <v>Noble Metal Nanoparticles: Preparation. Composite Nanostructures. Biodecoration and Collective Properties</v>
      </c>
      <c r="B1362" t="str">
        <f>"9784431565543"</f>
        <v>9784431565543</v>
      </c>
      <c r="C1362">
        <v>161.99</v>
      </c>
      <c r="D1362" t="str">
        <f>"EUR"</f>
        <v>EUR</v>
      </c>
      <c r="E1362" t="str">
        <f>"2017"</f>
        <v>2017</v>
      </c>
      <c r="F1362" t="str">
        <f>"Capek"</f>
        <v>Capek</v>
      </c>
      <c r="G1362" t="str">
        <f>"negarestanabi"</f>
        <v>negarestanabi</v>
      </c>
    </row>
    <row r="1363" spans="1:7" x14ac:dyDescent="0.25">
      <c r="A1363" t="str">
        <f>"Nomenclature of Organic Compounds"</f>
        <v>Nomenclature of Organic Compounds</v>
      </c>
      <c r="B1363" t="str">
        <f>"9781783322794"</f>
        <v>9781783322794</v>
      </c>
      <c r="C1363">
        <v>25.17</v>
      </c>
      <c r="D1363" t="str">
        <f>"GBP"</f>
        <v>GBP</v>
      </c>
      <c r="E1363" t="str">
        <f>"2016"</f>
        <v>2016</v>
      </c>
      <c r="F1363" t="str">
        <f>"Pal"</f>
        <v>Pal</v>
      </c>
      <c r="G1363" t="str">
        <f>"jahanadib"</f>
        <v>jahanadib</v>
      </c>
    </row>
    <row r="1364" spans="1:7" x14ac:dyDescent="0.25">
      <c r="A1364" t="str">
        <f>"Nomenclature of The Organic Compounds for the Beginners"</f>
        <v>Nomenclature of The Organic Compounds for the Beginners</v>
      </c>
      <c r="B1364" t="str">
        <f>"9788173816826"</f>
        <v>9788173816826</v>
      </c>
      <c r="C1364">
        <v>6.38</v>
      </c>
      <c r="D1364" t="str">
        <f>"USD"</f>
        <v>USD</v>
      </c>
      <c r="E1364" t="str">
        <f>"2013"</f>
        <v>2013</v>
      </c>
      <c r="F1364" t="str">
        <f>"Banerjee"</f>
        <v>Banerjee</v>
      </c>
      <c r="G1364" t="str">
        <f>"jahanadib"</f>
        <v>jahanadib</v>
      </c>
    </row>
    <row r="1365" spans="1:7" x14ac:dyDescent="0.25">
      <c r="A1365" t="str">
        <f>"Noncovalent Forces"</f>
        <v>Noncovalent Forces</v>
      </c>
      <c r="B1365" t="str">
        <f>"9783319141626"</f>
        <v>9783319141626</v>
      </c>
      <c r="C1365">
        <v>197.99</v>
      </c>
      <c r="D1365" t="str">
        <f>"EUR"</f>
        <v>EUR</v>
      </c>
      <c r="E1365" t="str">
        <f>"2015"</f>
        <v>2015</v>
      </c>
      <c r="F1365" t="str">
        <f>"Scheiner"</f>
        <v>Scheiner</v>
      </c>
      <c r="G1365" t="str">
        <f>"negarestanabi"</f>
        <v>negarestanabi</v>
      </c>
    </row>
    <row r="1366" spans="1:7" x14ac:dyDescent="0.25">
      <c r="A1366" t="str">
        <f>"Non-covalent Interactions in Quantum Chemistry and Physics, Theory and Applications"</f>
        <v>Non-covalent Interactions in Quantum Chemistry and Physics, Theory and Applications</v>
      </c>
      <c r="B1366" t="str">
        <f>"9780128098332"</f>
        <v>9780128098332</v>
      </c>
      <c r="C1366">
        <v>225</v>
      </c>
      <c r="D1366" t="str">
        <f>"USD"</f>
        <v>USD</v>
      </c>
      <c r="E1366" t="str">
        <f>"2017"</f>
        <v>2017</v>
      </c>
      <c r="F1366" t="str">
        <f>"Otero de la Roza and"</f>
        <v>Otero de la Roza and</v>
      </c>
      <c r="G1366" t="str">
        <f>"dehkadehketab"</f>
        <v>dehkadehketab</v>
      </c>
    </row>
    <row r="1367" spans="1:7" x14ac:dyDescent="0.25">
      <c r="A1367" t="str">
        <f>"Non-covalent Interactions in the Synthesis and Design of New Compounds"</f>
        <v>Non-covalent Interactions in the Synthesis and Design of New Compounds</v>
      </c>
      <c r="B1367" t="str">
        <f>"9781119109891"</f>
        <v>9781119109891</v>
      </c>
      <c r="C1367">
        <v>165.8</v>
      </c>
      <c r="D1367" t="str">
        <f>"USD"</f>
        <v>USD</v>
      </c>
      <c r="E1367" t="str">
        <f>"2016"</f>
        <v>2016</v>
      </c>
      <c r="F1367" t="str">
        <f>"Maharramov"</f>
        <v>Maharramov</v>
      </c>
      <c r="G1367" t="str">
        <f>"avanddanesh"</f>
        <v>avanddanesh</v>
      </c>
    </row>
    <row r="1368" spans="1:7" x14ac:dyDescent="0.25">
      <c r="A1368" t="str">
        <f>"Non-ionizing Radiation Protection: Summary of Research and Policy Options"</f>
        <v>Non-ionizing Radiation Protection: Summary of Research and Policy Options</v>
      </c>
      <c r="B1368" t="str">
        <f>"9780471446811"</f>
        <v>9780471446811</v>
      </c>
      <c r="C1368">
        <v>134.1</v>
      </c>
      <c r="D1368" t="str">
        <f>"USD"</f>
        <v>USD</v>
      </c>
      <c r="E1368" t="str">
        <f>"2017"</f>
        <v>2017</v>
      </c>
      <c r="F1368" t="str">
        <f>"Wood"</f>
        <v>Wood</v>
      </c>
      <c r="G1368" t="str">
        <f>"avanddanesh"</f>
        <v>avanddanesh</v>
      </c>
    </row>
    <row r="1369" spans="1:7" x14ac:dyDescent="0.25">
      <c r="A1369" t="str">
        <f>"Nonlinear Dynamics with Polymers: Fundamentals, Methods and Applications"</f>
        <v>Nonlinear Dynamics with Polymers: Fundamentals, Methods and Applications</v>
      </c>
      <c r="B1369" t="str">
        <f>"9783527325290"</f>
        <v>9783527325290</v>
      </c>
      <c r="C1369">
        <v>80.400000000000006</v>
      </c>
      <c r="D1369" t="str">
        <f>"USD"</f>
        <v>USD</v>
      </c>
      <c r="E1369" t="str">
        <f>"2010"</f>
        <v>2010</v>
      </c>
      <c r="F1369" t="str">
        <f>"Pojman"</f>
        <v>Pojman</v>
      </c>
      <c r="G1369" t="str">
        <f>"avanddanesh"</f>
        <v>avanddanesh</v>
      </c>
    </row>
    <row r="1370" spans="1:7" x14ac:dyDescent="0.25">
      <c r="A1370" t="str">
        <f>"Nonlinear Elasticity and Hysteresis: Fluid Solid Coupling in Porous Media"</f>
        <v>Nonlinear Elasticity and Hysteresis: Fluid Solid Coupling in Porous Media</v>
      </c>
      <c r="B1370" t="str">
        <f>"9783527333028"</f>
        <v>9783527333028</v>
      </c>
      <c r="C1370">
        <v>136</v>
      </c>
      <c r="D1370" t="str">
        <f>"USD"</f>
        <v>USD</v>
      </c>
      <c r="E1370" t="str">
        <f>"2015"</f>
        <v>2015</v>
      </c>
      <c r="F1370" t="str">
        <f>"Kim"</f>
        <v>Kim</v>
      </c>
      <c r="G1370" t="str">
        <f>"avanddanesh"</f>
        <v>avanddanesh</v>
      </c>
    </row>
    <row r="1371" spans="1:7" x14ac:dyDescent="0.25">
      <c r="A1371" t="str">
        <f>"Nonlinear Optical Polarization Analysis in Chemistry and Biology"</f>
        <v>Nonlinear Optical Polarization Analysis in Chemistry and Biology</v>
      </c>
      <c r="B1371" t="str">
        <f>"9780521519083"</f>
        <v>9780521519083</v>
      </c>
      <c r="C1371">
        <v>114.8</v>
      </c>
      <c r="D1371" t="str">
        <f>"GBP"</f>
        <v>GBP</v>
      </c>
      <c r="E1371" t="str">
        <f>"2017"</f>
        <v>2017</v>
      </c>
      <c r="F1371" t="str">
        <f>"Garth J. Simpson"</f>
        <v>Garth J. Simpson</v>
      </c>
      <c r="G1371" t="str">
        <f>"arzinbooks"</f>
        <v>arzinbooks</v>
      </c>
    </row>
    <row r="1372" spans="1:7" x14ac:dyDescent="0.25">
      <c r="A1372" t="str">
        <f>"Non-Noble Metal Fuel Cell Catalysts"</f>
        <v>Non-Noble Metal Fuel Cell Catalysts</v>
      </c>
      <c r="B1372" t="str">
        <f>"9783527333240"</f>
        <v>9783527333240</v>
      </c>
      <c r="C1372">
        <v>159</v>
      </c>
      <c r="D1372" t="str">
        <f>"USD"</f>
        <v>USD</v>
      </c>
      <c r="E1372" t="str">
        <f>"2014"</f>
        <v>2014</v>
      </c>
      <c r="F1372" t="str">
        <f>"Chen"</f>
        <v>Chen</v>
      </c>
      <c r="G1372" t="str">
        <f>"avanddanesh"</f>
        <v>avanddanesh</v>
      </c>
    </row>
    <row r="1373" spans="1:7" x14ac:dyDescent="0.25">
      <c r="A1373" t="str">
        <f>"Nonrelativistic Quantum X-Ray Physics"</f>
        <v>Nonrelativistic Quantum X-Ray Physics</v>
      </c>
      <c r="B1373" t="str">
        <f>"9783527411603"</f>
        <v>9783527411603</v>
      </c>
      <c r="C1373">
        <v>105</v>
      </c>
      <c r="D1373" t="str">
        <f>"USD"</f>
        <v>USD</v>
      </c>
      <c r="E1373" t="str">
        <f>"2014"</f>
        <v>2014</v>
      </c>
      <c r="F1373" t="str">
        <f>"Hau-Riege"</f>
        <v>Hau-Riege</v>
      </c>
      <c r="G1373" t="str">
        <f>"avanddanesh"</f>
        <v>avanddanesh</v>
      </c>
    </row>
    <row r="1374" spans="1:7" x14ac:dyDescent="0.25">
      <c r="A1374" t="str">
        <f>"Non-Wettable Surfaces: Theory, Preparation and Applications"</f>
        <v>Non-Wettable Surfaces: Theory, Preparation and Applications</v>
      </c>
      <c r="B1374" t="str">
        <f>"9781782621546"</f>
        <v>9781782621546</v>
      </c>
      <c r="C1374">
        <v>152.19999999999999</v>
      </c>
      <c r="D1374" t="str">
        <f>"GBP"</f>
        <v>GBP</v>
      </c>
      <c r="E1374" t="str">
        <f>"2017"</f>
        <v>2017</v>
      </c>
      <c r="F1374" t="str">
        <f>"Robin H. A. Ras andÂ "</f>
        <v>Robin H. A. Ras andÂ </v>
      </c>
      <c r="G1374" t="str">
        <f>"arzinbooks"</f>
        <v>arzinbooks</v>
      </c>
    </row>
    <row r="1375" spans="1:7" x14ac:dyDescent="0.25">
      <c r="A1375" t="str">
        <f>"Novel Catalytic and Separation Processes Based on Ionic Liquids"</f>
        <v>Novel Catalytic and Separation Processes Based on Ionic Liquids</v>
      </c>
      <c r="B1375" t="str">
        <f>"9780128020272"</f>
        <v>9780128020272</v>
      </c>
      <c r="C1375">
        <v>211.5</v>
      </c>
      <c r="D1375" t="str">
        <f t="shared" ref="D1375:D1380" si="89">"USD"</f>
        <v>USD</v>
      </c>
      <c r="E1375" t="str">
        <f>"2017"</f>
        <v>2017</v>
      </c>
      <c r="F1375" t="str">
        <f>"Ozokwelu et al"</f>
        <v>Ozokwelu et al</v>
      </c>
      <c r="G1375" t="str">
        <f>"dehkadehketab"</f>
        <v>dehkadehketab</v>
      </c>
    </row>
    <row r="1376" spans="1:7" x14ac:dyDescent="0.25">
      <c r="A1376" t="str">
        <f>"Novel Electronic Structure Theory: General Innovations and Strongly Correlated Systems, Volume76"</f>
        <v>Novel Electronic Structure Theory: General Innovations and Strongly Correlated Systems, Volume76</v>
      </c>
      <c r="B1376" t="str">
        <f>"9780128129920"</f>
        <v>9780128129920</v>
      </c>
      <c r="C1376">
        <v>220.5</v>
      </c>
      <c r="D1376" t="str">
        <f t="shared" si="89"/>
        <v>USD</v>
      </c>
      <c r="E1376" t="str">
        <f>"2018"</f>
        <v>2018</v>
      </c>
      <c r="F1376" t="str">
        <f>"Hoggan"</f>
        <v>Hoggan</v>
      </c>
      <c r="G1376" t="str">
        <f>"dehkadehketab"</f>
        <v>dehkadehketab</v>
      </c>
    </row>
    <row r="1377" spans="1:7" x14ac:dyDescent="0.25">
      <c r="A1377" t="str">
        <f>"Novel Process Windows: Innovative Gates to Intensified and Sustainable Chemical Processes"</f>
        <v>Novel Process Windows: Innovative Gates to Intensified and Sustainable Chemical Processes</v>
      </c>
      <c r="B1377" t="str">
        <f>"9783527328581"</f>
        <v>9783527328581</v>
      </c>
      <c r="C1377">
        <v>144.80000000000001</v>
      </c>
      <c r="D1377" t="str">
        <f t="shared" si="89"/>
        <v>USD</v>
      </c>
      <c r="E1377" t="str">
        <f>"2015"</f>
        <v>2015</v>
      </c>
      <c r="F1377" t="str">
        <f>"Hessel"</f>
        <v>Hessel</v>
      </c>
      <c r="G1377" t="str">
        <f>"avanddanesh"</f>
        <v>avanddanesh</v>
      </c>
    </row>
    <row r="1378" spans="1:7" x14ac:dyDescent="0.25">
      <c r="A1378" t="str">
        <f>"Nuclear and Radiochemistry, 2nd Edition"</f>
        <v>Nuclear and Radiochemistry, 2nd Edition</v>
      </c>
      <c r="B1378" t="str">
        <f>"9780128136416"</f>
        <v>9780128136416</v>
      </c>
      <c r="C1378">
        <v>162</v>
      </c>
      <c r="D1378" t="str">
        <f t="shared" si="89"/>
        <v>USD</v>
      </c>
      <c r="E1378" t="str">
        <f>"2018"</f>
        <v>2018</v>
      </c>
      <c r="F1378" t="str">
        <f>"Konya and Nagy"</f>
        <v>Konya and Nagy</v>
      </c>
      <c r="G1378" t="str">
        <f>"dehkadehketab"</f>
        <v>dehkadehketab</v>
      </c>
    </row>
    <row r="1379" spans="1:7" x14ac:dyDescent="0.25">
      <c r="A1379" t="str">
        <f>"Nuclear and Radiochemistry: Fundamentals and Applications, 2V Set,3e"</f>
        <v>Nuclear and Radiochemistry: Fundamentals and Applications, 2V Set,3e</v>
      </c>
      <c r="B1379" t="str">
        <f>"9783527329014"</f>
        <v>9783527329014</v>
      </c>
      <c r="C1379">
        <v>271.7</v>
      </c>
      <c r="D1379" t="str">
        <f t="shared" si="89"/>
        <v>USD</v>
      </c>
      <c r="E1379" t="str">
        <f>"2013"</f>
        <v>2013</v>
      </c>
      <c r="F1379" t="str">
        <f>"Kratz"</f>
        <v>Kratz</v>
      </c>
      <c r="G1379" t="str">
        <f>"avanddanesh"</f>
        <v>avanddanesh</v>
      </c>
    </row>
    <row r="1380" spans="1:7" x14ac:dyDescent="0.25">
      <c r="A1380" t="str">
        <f>"NUCLEAR CHEMISTRY, HB"</f>
        <v>NUCLEAR CHEMISTRY, HB</v>
      </c>
      <c r="B1380" t="str">
        <f>"9781926686851"</f>
        <v>9781926686851</v>
      </c>
      <c r="C1380">
        <v>93.1</v>
      </c>
      <c r="D1380" t="str">
        <f t="shared" si="89"/>
        <v>USD</v>
      </c>
      <c r="E1380" t="str">
        <f>"2010"</f>
        <v>2010</v>
      </c>
      <c r="F1380" t="str">
        <f>"Nixon"</f>
        <v>Nixon</v>
      </c>
      <c r="G1380" t="str">
        <f>"supply"</f>
        <v>supply</v>
      </c>
    </row>
    <row r="1381" spans="1:7" x14ac:dyDescent="0.25">
      <c r="A1381" t="str">
        <f>"Nuclear Forensic Analysis, Second Edition"</f>
        <v>Nuclear Forensic Analysis, Second Edition</v>
      </c>
      <c r="B1381" t="str">
        <f>"9781439880616"</f>
        <v>9781439880616</v>
      </c>
      <c r="C1381">
        <v>101.15</v>
      </c>
      <c r="D1381" t="str">
        <f>"GBP"</f>
        <v>GBP</v>
      </c>
      <c r="E1381" t="str">
        <f>"2015"</f>
        <v>2015</v>
      </c>
      <c r="F1381" t="str">
        <f>"Patrick M. Grant"</f>
        <v>Patrick M. Grant</v>
      </c>
      <c r="G1381" t="str">
        <f>"AsarBartar"</f>
        <v>AsarBartar</v>
      </c>
    </row>
    <row r="1382" spans="1:7" x14ac:dyDescent="0.25">
      <c r="A1382" t="str">
        <f>"Nuclear Magnetic Resonance Studies of Interfacial Phenomena (Surfactant Science)"</f>
        <v>Nuclear Magnetic Resonance Studies of Interfacial Phenomena (Surfactant Science)</v>
      </c>
      <c r="B1382" t="str">
        <f>"9781466551688"</f>
        <v>9781466551688</v>
      </c>
      <c r="C1382">
        <v>79.8</v>
      </c>
      <c r="D1382" t="str">
        <f>"GBP"</f>
        <v>GBP</v>
      </c>
      <c r="E1382" t="str">
        <f>"2013"</f>
        <v>2013</v>
      </c>
      <c r="F1382" t="str">
        <f>"Vladimir V. Turov"</f>
        <v>Vladimir V. Turov</v>
      </c>
      <c r="G1382" t="str">
        <f>"AsarBartar"</f>
        <v>AsarBartar</v>
      </c>
    </row>
    <row r="1383" spans="1:7" x14ac:dyDescent="0.25">
      <c r="A1383" t="str">
        <f>"Nucleic Acids from A to Z:A Concise Encyclopedia"</f>
        <v>Nucleic Acids from A to Z:A Concise Encyclopedia</v>
      </c>
      <c r="B1383" t="str">
        <f>"9783527312115"</f>
        <v>9783527312115</v>
      </c>
      <c r="C1383">
        <v>90</v>
      </c>
      <c r="D1383" t="str">
        <f>"USD"</f>
        <v>USD</v>
      </c>
      <c r="E1383" t="str">
        <f>"2008"</f>
        <v>2008</v>
      </c>
      <c r="F1383" t="str">
        <f>"MÃ¼ller"</f>
        <v>MÃ¼ller</v>
      </c>
      <c r="G1383" t="str">
        <f>"safirketab"</f>
        <v>safirketab</v>
      </c>
    </row>
    <row r="1384" spans="1:7" x14ac:dyDescent="0.25">
      <c r="A1384" t="str">
        <f>"Occupational Ergonomics: A Practical Approach"</f>
        <v>Occupational Ergonomics: A Practical Approach</v>
      </c>
      <c r="B1384" t="str">
        <f>"9781118814215"</f>
        <v>9781118814215</v>
      </c>
      <c r="C1384">
        <v>106.3</v>
      </c>
      <c r="D1384" t="str">
        <f>"USD"</f>
        <v>USD</v>
      </c>
      <c r="E1384" t="str">
        <f>"2016"</f>
        <v>2016</v>
      </c>
      <c r="F1384" t="str">
        <f>"Stack"</f>
        <v>Stack</v>
      </c>
      <c r="G1384" t="str">
        <f>"avanddanesh"</f>
        <v>avanddanesh</v>
      </c>
    </row>
    <row r="1385" spans="1:7" x14ac:dyDescent="0.25">
      <c r="A1385" t="str">
        <f>"Oil Spill Remediation: Colloid Chemistry-Based Principles and Solutions"</f>
        <v>Oil Spill Remediation: Colloid Chemistry-Based Principles and Solutions</v>
      </c>
      <c r="B1385" t="str">
        <f>"9781118206706"</f>
        <v>9781118206706</v>
      </c>
      <c r="C1385">
        <v>116.2</v>
      </c>
      <c r="D1385" t="str">
        <f>"USD"</f>
        <v>USD</v>
      </c>
      <c r="E1385" t="str">
        <f>"2014"</f>
        <v>2014</v>
      </c>
      <c r="F1385" t="str">
        <f>"Somasundaran"</f>
        <v>Somasundaran</v>
      </c>
      <c r="G1385" t="str">
        <f>"avanddanesh"</f>
        <v>avanddanesh</v>
      </c>
    </row>
    <row r="1386" spans="1:7" x14ac:dyDescent="0.25">
      <c r="A1386" t="str">
        <f>"OMEGA-3 FATTY ACIDS AND THE DHA PRINCIPLE"</f>
        <v>OMEGA-3 FATTY ACIDS AND THE DHA PRINCIPLE</v>
      </c>
      <c r="B1386" t="str">
        <f>"9781439812990"</f>
        <v>9781439812990</v>
      </c>
      <c r="C1386">
        <v>29.7</v>
      </c>
      <c r="D1386" t="str">
        <f>"GBP"</f>
        <v>GBP</v>
      </c>
      <c r="E1386" t="str">
        <f>"2010"</f>
        <v>2010</v>
      </c>
      <c r="F1386" t="str">
        <f>"VALENTINE, RAYMOND"</f>
        <v>VALENTINE, RAYMOND</v>
      </c>
      <c r="G1386" t="str">
        <f>"AsarBartar"</f>
        <v>AsarBartar</v>
      </c>
    </row>
    <row r="1387" spans="1:7" x14ac:dyDescent="0.25">
      <c r="A1387" t="str">
        <f>"Operational Safety Economics: A Practical Approach focused on the Chemical and Process Industries"</f>
        <v>Operational Safety Economics: A Practical Approach focused on the Chemical and Process Industries</v>
      </c>
      <c r="B1387" t="str">
        <f>"9781118871126"</f>
        <v>9781118871126</v>
      </c>
      <c r="C1387">
        <v>106.3</v>
      </c>
      <c r="D1387" t="str">
        <f>"USD"</f>
        <v>USD</v>
      </c>
      <c r="E1387" t="str">
        <f>"2016"</f>
        <v>2016</v>
      </c>
      <c r="F1387" t="str">
        <f>"Reniers"</f>
        <v>Reniers</v>
      </c>
      <c r="G1387" t="str">
        <f>"avanddanesh"</f>
        <v>avanddanesh</v>
      </c>
    </row>
    <row r="1388" spans="1:7" x14ac:dyDescent="0.25">
      <c r="A1388" t="str">
        <f>"Optical 3D-Spectroscopy for Astronomy"</f>
        <v>Optical 3D-Spectroscopy for Astronomy</v>
      </c>
      <c r="B1388" t="str">
        <f>"9783527412020"</f>
        <v>9783527412020</v>
      </c>
      <c r="C1388">
        <v>157.5</v>
      </c>
      <c r="D1388" t="str">
        <f>"USD"</f>
        <v>USD</v>
      </c>
      <c r="E1388" t="str">
        <f>"2017"</f>
        <v>2017</v>
      </c>
      <c r="F1388" t="str">
        <f>"Bacon"</f>
        <v>Bacon</v>
      </c>
      <c r="G1388" t="str">
        <f>"avanddanesh"</f>
        <v>avanddanesh</v>
      </c>
    </row>
    <row r="1389" spans="1:7" x14ac:dyDescent="0.25">
      <c r="A1389" t="str">
        <f>"OPTIMIZATION IN FOOD ENGINEERING"</f>
        <v>OPTIMIZATION IN FOOD ENGINEERING</v>
      </c>
      <c r="B1389" t="str">
        <f>"9781420061413"</f>
        <v>9781420061413</v>
      </c>
      <c r="C1389">
        <v>37.5</v>
      </c>
      <c r="D1389" t="str">
        <f>"GBP"</f>
        <v>GBP</v>
      </c>
      <c r="E1389" t="str">
        <f>"2009"</f>
        <v>2009</v>
      </c>
      <c r="F1389" t="str">
        <f>"FERRUH ERDOGDU"</f>
        <v>FERRUH ERDOGDU</v>
      </c>
      <c r="G1389" t="str">
        <f>"AsarBartar"</f>
        <v>AsarBartar</v>
      </c>
    </row>
    <row r="1390" spans="1:7" x14ac:dyDescent="0.25">
      <c r="A1390" t="str">
        <f>"Optimization Methods in Metabolic Networks"</f>
        <v>Optimization Methods in Metabolic Networks</v>
      </c>
      <c r="B1390" t="str">
        <f>"9781119028499"</f>
        <v>9781119028499</v>
      </c>
      <c r="C1390">
        <v>106.3</v>
      </c>
      <c r="D1390" t="str">
        <f t="shared" ref="D1390:D1399" si="90">"USD"</f>
        <v>USD</v>
      </c>
      <c r="E1390" t="str">
        <f>"2016"</f>
        <v>2016</v>
      </c>
      <c r="F1390" t="str">
        <f>"Maranas"</f>
        <v>Maranas</v>
      </c>
      <c r="G1390" t="str">
        <f>"avanddanesh"</f>
        <v>avanddanesh</v>
      </c>
    </row>
    <row r="1391" spans="1:7" x14ac:dyDescent="0.25">
      <c r="A1391" t="str">
        <f>"Oral Bioavailability Assessment: Basics and Strategies for Drug Discovery and Development"</f>
        <v>Oral Bioavailability Assessment: Basics and Strategies for Drug Discovery and Development</v>
      </c>
      <c r="B1391" t="str">
        <f>"9781118916698"</f>
        <v>9781118916698</v>
      </c>
      <c r="C1391">
        <v>157.5</v>
      </c>
      <c r="D1391" t="str">
        <f t="shared" si="90"/>
        <v>USD</v>
      </c>
      <c r="E1391" t="str">
        <f>"2017"</f>
        <v>2017</v>
      </c>
      <c r="F1391" t="str">
        <f>"El-Kattan"</f>
        <v>El-Kattan</v>
      </c>
      <c r="G1391" t="str">
        <f>"avanddanesh"</f>
        <v>avanddanesh</v>
      </c>
    </row>
    <row r="1392" spans="1:7" x14ac:dyDescent="0.25">
      <c r="A1392" t="str">
        <f>"Oral Formulation Roadmap from Early Drug Discovery to Development"</f>
        <v>Oral Formulation Roadmap from Early Drug Discovery to Development</v>
      </c>
      <c r="B1392" t="str">
        <f>"9781118907337"</f>
        <v>9781118907337</v>
      </c>
      <c r="C1392">
        <v>135</v>
      </c>
      <c r="D1392" t="str">
        <f t="shared" si="90"/>
        <v>USD</v>
      </c>
      <c r="E1392" t="str">
        <f>"2017"</f>
        <v>2017</v>
      </c>
      <c r="F1392" t="str">
        <f>"Kwong"</f>
        <v>Kwong</v>
      </c>
      <c r="G1392" t="str">
        <f>"avanddanesh"</f>
        <v>avanddanesh</v>
      </c>
    </row>
    <row r="1393" spans="1:7" x14ac:dyDescent="0.25">
      <c r="A1393" t="str">
        <f>"Organic Azides: Syntheses and Applications"</f>
        <v>Organic Azides: Syntheses and Applications</v>
      </c>
      <c r="B1393" t="str">
        <f>"9780470519981"</f>
        <v>9780470519981</v>
      </c>
      <c r="C1393">
        <v>70</v>
      </c>
      <c r="D1393" t="str">
        <f t="shared" si="90"/>
        <v>USD</v>
      </c>
      <c r="E1393" t="str">
        <f>"2009"</f>
        <v>2009</v>
      </c>
      <c r="F1393" t="str">
        <f>"Br?se"</f>
        <v>Br?se</v>
      </c>
      <c r="G1393" t="str">
        <f>"avanddanesh"</f>
        <v>avanddanesh</v>
      </c>
    </row>
    <row r="1394" spans="1:7" x14ac:dyDescent="0.25">
      <c r="A1394" t="str">
        <f>"Organic Azides:Syntheses and Applications"</f>
        <v>Organic Azides:Syntheses and Applications</v>
      </c>
      <c r="B1394" t="str">
        <f>"9780470519981"</f>
        <v>9780470519981</v>
      </c>
      <c r="C1394">
        <v>70</v>
      </c>
      <c r="D1394" t="str">
        <f t="shared" si="90"/>
        <v>USD</v>
      </c>
      <c r="E1394" t="str">
        <f>"2009"</f>
        <v>2009</v>
      </c>
      <c r="F1394" t="str">
        <f>"Br?se"</f>
        <v>Br?se</v>
      </c>
      <c r="G1394" t="str">
        <f>"safirketab"</f>
        <v>safirketab</v>
      </c>
    </row>
    <row r="1395" spans="1:7" x14ac:dyDescent="0.25">
      <c r="A1395" t="str">
        <f>"Organic Chemistry                                                                                                                                       "</f>
        <v xml:space="preserve">Organic Chemistry                                                                                                                                       </v>
      </c>
      <c r="B1395" t="str">
        <f>"9780393937138"</f>
        <v>9780393937138</v>
      </c>
      <c r="C1395">
        <v>59.5</v>
      </c>
      <c r="D1395" t="str">
        <f t="shared" si="90"/>
        <v>USD</v>
      </c>
      <c r="E1395" t="str">
        <f>"2014"</f>
        <v>2014</v>
      </c>
      <c r="F1395" t="str">
        <f>"Jones          "</f>
        <v xml:space="preserve">Jones          </v>
      </c>
      <c r="G1395" t="str">
        <f>"jahanadib"</f>
        <v>jahanadib</v>
      </c>
    </row>
    <row r="1396" spans="1:7" x14ac:dyDescent="0.25">
      <c r="A1396" t="str">
        <f>"Organic Chemistry"</f>
        <v>Organic Chemistry</v>
      </c>
      <c r="B1396" t="str">
        <f>"9781259254888"</f>
        <v>9781259254888</v>
      </c>
      <c r="C1396">
        <v>85</v>
      </c>
      <c r="D1396" t="str">
        <f t="shared" si="90"/>
        <v>USD</v>
      </c>
      <c r="E1396" t="str">
        <f>"2016"</f>
        <v>2016</v>
      </c>
      <c r="F1396" t="str">
        <f>"Smith"</f>
        <v>Smith</v>
      </c>
      <c r="G1396" t="str">
        <f>"safirketab"</f>
        <v>safirketab</v>
      </c>
    </row>
    <row r="1397" spans="1:7" x14ac:dyDescent="0.25">
      <c r="A1397" t="str">
        <f>"Organic Chemistry"</f>
        <v>Organic Chemistry</v>
      </c>
      <c r="B1397" t="str">
        <f>"9781259253379"</f>
        <v>9781259253379</v>
      </c>
      <c r="C1397">
        <v>85</v>
      </c>
      <c r="D1397" t="str">
        <f t="shared" si="90"/>
        <v>USD</v>
      </c>
      <c r="E1397" t="str">
        <f>"2016"</f>
        <v>2016</v>
      </c>
      <c r="F1397" t="str">
        <f>"Carey"</f>
        <v>Carey</v>
      </c>
      <c r="G1397" t="str">
        <f>"safirketab"</f>
        <v>safirketab</v>
      </c>
    </row>
    <row r="1398" spans="1:7" x14ac:dyDescent="0.25">
      <c r="A1398" t="str">
        <f>"Organic Chemistry"</f>
        <v>Organic Chemistry</v>
      </c>
      <c r="B1398" t="str">
        <f>"9780471218487"</f>
        <v>9780471218487</v>
      </c>
      <c r="C1398">
        <v>45</v>
      </c>
      <c r="D1398" t="str">
        <f t="shared" si="90"/>
        <v>USD</v>
      </c>
      <c r="E1398" t="str">
        <f>"2017"</f>
        <v>2017</v>
      </c>
      <c r="F1398" t="str">
        <f>"Quirke"</f>
        <v>Quirke</v>
      </c>
      <c r="G1398" t="str">
        <f>"avanddanesh"</f>
        <v>avanddanesh</v>
      </c>
    </row>
    <row r="1399" spans="1:7" x14ac:dyDescent="0.25">
      <c r="A1399" t="str">
        <f>"Organic Chemistry - Principles and Mechanisms                                                                                                           "</f>
        <v xml:space="preserve">Organic Chemistry - Principles and Mechanisms                                                                                                           </v>
      </c>
      <c r="B1399" t="str">
        <f>"9780393937121"</f>
        <v>9780393937121</v>
      </c>
      <c r="C1399">
        <v>55.25</v>
      </c>
      <c r="D1399" t="str">
        <f t="shared" si="90"/>
        <v>USD</v>
      </c>
      <c r="E1399" t="str">
        <f>"2014"</f>
        <v>2014</v>
      </c>
      <c r="F1399" t="str">
        <f>"Karty          "</f>
        <v xml:space="preserve">Karty          </v>
      </c>
      <c r="G1399" t="str">
        <f>"jahanadib"</f>
        <v>jahanadib</v>
      </c>
    </row>
    <row r="1400" spans="1:7" x14ac:dyDescent="0.25">
      <c r="A1400" t="str">
        <f>"Organic Chemistry ; 6th Edition"</f>
        <v>Organic Chemistry ; 6th Edition</v>
      </c>
      <c r="B1400" t="str">
        <f>"9781936221349"</f>
        <v>9781936221349</v>
      </c>
      <c r="C1400">
        <v>60</v>
      </c>
      <c r="D1400" t="str">
        <f>"EUR"</f>
        <v>EUR</v>
      </c>
      <c r="E1400" t="str">
        <f>"2016"</f>
        <v>2016</v>
      </c>
      <c r="F1400" t="str">
        <f>"MARC LOUDONÂ JIM PARI"</f>
        <v>MARC LOUDONÂ JIM PARI</v>
      </c>
      <c r="G1400" t="str">
        <f>"arzinbooks"</f>
        <v>arzinbooks</v>
      </c>
    </row>
    <row r="1401" spans="1:7" x14ac:dyDescent="0.25">
      <c r="A1401" t="str">
        <f>"Organic Chemistry Concepts and Applications for Medicinal Chemistry"</f>
        <v>Organic Chemistry Concepts and Applications for Medicinal Chemistry</v>
      </c>
      <c r="B1401" t="str">
        <f>"9780128007396"</f>
        <v>9780128007396</v>
      </c>
      <c r="C1401">
        <v>39</v>
      </c>
      <c r="D1401" t="str">
        <f t="shared" ref="D1401:D1406" si="91">"USD"</f>
        <v>USD</v>
      </c>
      <c r="E1401" t="str">
        <f>"2014"</f>
        <v>2014</v>
      </c>
      <c r="F1401" t="str">
        <f>"Rice"</f>
        <v>Rice</v>
      </c>
      <c r="G1401" t="str">
        <f>"Parsian Publication"</f>
        <v>Parsian Publication</v>
      </c>
    </row>
    <row r="1402" spans="1:7" x14ac:dyDescent="0.25">
      <c r="A1402" t="str">
        <f>"Organic Chemistry II For Dummies"</f>
        <v>Organic Chemistry II For Dummies</v>
      </c>
      <c r="B1402" t="str">
        <f>"9780470178157"</f>
        <v>9780470178157</v>
      </c>
      <c r="C1402">
        <v>8</v>
      </c>
      <c r="D1402" t="str">
        <f t="shared" si="91"/>
        <v>USD</v>
      </c>
      <c r="E1402" t="str">
        <f>"2010"</f>
        <v>2010</v>
      </c>
      <c r="F1402" t="str">
        <f>"Moore"</f>
        <v>Moore</v>
      </c>
      <c r="G1402" t="str">
        <f>"avanddanesh"</f>
        <v>avanddanesh</v>
      </c>
    </row>
    <row r="1403" spans="1:7" x14ac:dyDescent="0.25">
      <c r="A1403" t="str">
        <f>"ORGANIC CHEMISTRY IN BIOTECHNOLOGY, HB"</f>
        <v>ORGANIC CHEMISTRY IN BIOTECHNOLOGY, HB</v>
      </c>
      <c r="B1403" t="str">
        <f>"9789380199696"</f>
        <v>9789380199696</v>
      </c>
      <c r="C1403">
        <v>24.57</v>
      </c>
      <c r="D1403" t="str">
        <f t="shared" si="91"/>
        <v>USD</v>
      </c>
      <c r="E1403" t="str">
        <f>"2011"</f>
        <v>2011</v>
      </c>
      <c r="F1403" t="str">
        <f>"Choudhuri"</f>
        <v>Choudhuri</v>
      </c>
      <c r="G1403" t="str">
        <f>"supply"</f>
        <v>supply</v>
      </c>
    </row>
    <row r="1404" spans="1:7" x14ac:dyDescent="0.25">
      <c r="A1404" t="str">
        <f>"Organic Chemistry of Explosives"</f>
        <v>Organic Chemistry of Explosives</v>
      </c>
      <c r="B1404" t="str">
        <f>"9780470029671"</f>
        <v>9780470029671</v>
      </c>
      <c r="C1404">
        <v>76</v>
      </c>
      <c r="D1404" t="str">
        <f t="shared" si="91"/>
        <v>USD</v>
      </c>
      <c r="E1404" t="str">
        <f>"2006"</f>
        <v>2006</v>
      </c>
      <c r="F1404" t="str">
        <f>"Agrawal"</f>
        <v>Agrawal</v>
      </c>
      <c r="G1404" t="str">
        <f>"avanddanesh"</f>
        <v>avanddanesh</v>
      </c>
    </row>
    <row r="1405" spans="1:7" x14ac:dyDescent="0.25">
      <c r="A1405" t="str">
        <f>"Organic Chemistry of Medicinal Agents"</f>
        <v>Organic Chemistry of Medicinal Agents</v>
      </c>
      <c r="B1405" t="str">
        <f>"9780071794213"</f>
        <v>9780071794213</v>
      </c>
      <c r="C1405">
        <v>72.25</v>
      </c>
      <c r="D1405" t="str">
        <f t="shared" si="91"/>
        <v>USD</v>
      </c>
      <c r="E1405" t="str">
        <f>"2015"</f>
        <v>2015</v>
      </c>
      <c r="F1405" t="str">
        <f>"Renslo"</f>
        <v>Renslo</v>
      </c>
      <c r="G1405" t="str">
        <f>"Parsian Publication"</f>
        <v>Parsian Publication</v>
      </c>
    </row>
    <row r="1406" spans="1:7" x14ac:dyDescent="0.25">
      <c r="A1406" t="str">
        <f>"Organic Chemistry, Structure, Mechanism, Synthesis, 2nd Edition"</f>
        <v>Organic Chemistry, Structure, Mechanism, Synthesis, 2nd Edition</v>
      </c>
      <c r="B1406" t="str">
        <f>"9780128128343"</f>
        <v>9780128128343</v>
      </c>
      <c r="C1406">
        <v>202.5</v>
      </c>
      <c r="D1406" t="str">
        <f t="shared" si="91"/>
        <v>USD</v>
      </c>
      <c r="E1406" t="str">
        <f>"2018"</f>
        <v>2018</v>
      </c>
      <c r="F1406" t="str">
        <f>"Rawn and Ouellette"</f>
        <v>Rawn and Ouellette</v>
      </c>
      <c r="G1406" t="str">
        <f>"dehkadehketab"</f>
        <v>dehkadehketab</v>
      </c>
    </row>
    <row r="1407" spans="1:7" x14ac:dyDescent="0.25">
      <c r="A1407" t="str">
        <f>"Organic Chemistry: A Guided Inquiry for Recitation, Vol"</f>
        <v>Organic Chemistry: A Guided Inquiry for Recitation, Vol</v>
      </c>
      <c r="B1407" t="str">
        <f>"9781111578299"</f>
        <v>9781111578299</v>
      </c>
      <c r="C1407">
        <v>3.59</v>
      </c>
      <c r="D1407" t="str">
        <f>"GBP"</f>
        <v>GBP</v>
      </c>
      <c r="E1407" t="str">
        <f>"2012"</f>
        <v>2012</v>
      </c>
      <c r="F1407" t="str">
        <f>"STRAUMANIS"</f>
        <v>STRAUMANIS</v>
      </c>
      <c r="G1407" t="str">
        <f>"AsarBartar"</f>
        <v>AsarBartar</v>
      </c>
    </row>
    <row r="1408" spans="1:7" x14ac:dyDescent="0.25">
      <c r="A1408" t="str">
        <f>"Organic Chemistry: A Laboratory Manual"</f>
        <v>Organic Chemistry: A Laboratory Manual</v>
      </c>
      <c r="B1408" t="str">
        <f>"9781842658123"</f>
        <v>9781842658123</v>
      </c>
      <c r="C1408">
        <v>20.97</v>
      </c>
      <c r="D1408" t="str">
        <f>"GBP"</f>
        <v>GBP</v>
      </c>
      <c r="E1408" t="str">
        <f>"2014"</f>
        <v>2014</v>
      </c>
      <c r="F1408" t="str">
        <f>"Mumtazuddin"</f>
        <v>Mumtazuddin</v>
      </c>
      <c r="G1408" t="str">
        <f>"jahanadib"</f>
        <v>jahanadib</v>
      </c>
    </row>
    <row r="1409" spans="1:7" x14ac:dyDescent="0.25">
      <c r="A1409" t="str">
        <f>"Organic Chemistry: An Acid-Base Approach, Second Edition"</f>
        <v>Organic Chemistry: An Acid-Base Approach, Second Edition</v>
      </c>
      <c r="B1409" t="str">
        <f>"9781482238235"</f>
        <v>9781482238235</v>
      </c>
      <c r="C1409">
        <v>78.2</v>
      </c>
      <c r="D1409" t="str">
        <f>"GBP"</f>
        <v>GBP</v>
      </c>
      <c r="E1409" t="str">
        <f>"2016"</f>
        <v>2016</v>
      </c>
      <c r="F1409" t="str">
        <f>"Michael B. Smith"</f>
        <v>Michael B. Smith</v>
      </c>
      <c r="G1409" t="str">
        <f>"AsarBartar"</f>
        <v>AsarBartar</v>
      </c>
    </row>
    <row r="1410" spans="1:7" x14ac:dyDescent="0.25">
      <c r="A1410" t="str">
        <f>"Organic Chemistry: Breakthroughs and Perspectives"</f>
        <v>Organic Chemistry: Breakthroughs and Perspectives</v>
      </c>
      <c r="B1410" t="str">
        <f>"9783527329632"</f>
        <v>9783527329632</v>
      </c>
      <c r="C1410">
        <v>79.8</v>
      </c>
      <c r="D1410" t="str">
        <f>"USD"</f>
        <v>USD</v>
      </c>
      <c r="E1410" t="str">
        <f>"2012"</f>
        <v>2012</v>
      </c>
      <c r="F1410" t="str">
        <f>"Ding"</f>
        <v>Ding</v>
      </c>
      <c r="G1410" t="str">
        <f>"avanddanesh"</f>
        <v>avanddanesh</v>
      </c>
    </row>
    <row r="1411" spans="1:7" x14ac:dyDescent="0.25">
      <c r="A1411" t="str">
        <f>"Organic Chemistry: Guided Inquiry for Recitation, Volum"</f>
        <v>Organic Chemistry: Guided Inquiry for Recitation, Volum</v>
      </c>
      <c r="B1411" t="str">
        <f>"9781111578305"</f>
        <v>9781111578305</v>
      </c>
      <c r="C1411">
        <v>3.59</v>
      </c>
      <c r="D1411" t="str">
        <f>"GBP"</f>
        <v>GBP</v>
      </c>
      <c r="E1411" t="str">
        <f>"2012"</f>
        <v>2012</v>
      </c>
      <c r="F1411" t="str">
        <f>"STRAUMANIS"</f>
        <v>STRAUMANIS</v>
      </c>
      <c r="G1411" t="str">
        <f>"AsarBartar"</f>
        <v>AsarBartar</v>
      </c>
    </row>
    <row r="1412" spans="1:7" x14ac:dyDescent="0.25">
      <c r="A1412" t="str">
        <f>"Organic Chemistry: Structure and Function ; 7th Edition"</f>
        <v>Organic Chemistry: Structure and Function ; 7th Edition</v>
      </c>
      <c r="B1412" t="str">
        <f>"9781464120275"</f>
        <v>9781464120275</v>
      </c>
      <c r="C1412">
        <v>72</v>
      </c>
      <c r="D1412" t="str">
        <f>"EUR"</f>
        <v>EUR</v>
      </c>
      <c r="E1412" t="str">
        <f>"2015"</f>
        <v>2015</v>
      </c>
      <c r="F1412" t="str">
        <f>"K. PETER C. VOLLHARD"</f>
        <v>K. PETER C. VOLLHARD</v>
      </c>
      <c r="G1412" t="str">
        <f>"arzinbooks"</f>
        <v>arzinbooks</v>
      </c>
    </row>
    <row r="1413" spans="1:7" x14ac:dyDescent="0.25">
      <c r="A1413" t="str">
        <f>"ORGANIC CHEMIST'S DESK REFERENCE, SECOND EDITION"</f>
        <v>ORGANIC CHEMIST'S DESK REFERENCE, SECOND EDITION</v>
      </c>
      <c r="B1413" t="str">
        <f>"9781439811641"</f>
        <v>9781439811641</v>
      </c>
      <c r="C1413">
        <v>14.69</v>
      </c>
      <c r="D1413" t="str">
        <f>"GBP"</f>
        <v>GBP</v>
      </c>
      <c r="E1413" t="str">
        <f>"2011"</f>
        <v>2011</v>
      </c>
      <c r="F1413" t="str">
        <f>"COOPER, CAROLINE|"</f>
        <v>COOPER, CAROLINE|</v>
      </c>
      <c r="G1413" t="str">
        <f>"AsarBartar"</f>
        <v>AsarBartar</v>
      </c>
    </row>
    <row r="1414" spans="1:7" x14ac:dyDescent="0.25">
      <c r="A1414" t="str">
        <f>"Organic Chemisty, 2/e"</f>
        <v>Organic Chemisty, 2/e</v>
      </c>
      <c r="B1414" t="str">
        <f>"9788120351264"</f>
        <v>9788120351264</v>
      </c>
      <c r="C1414">
        <v>17.850000000000001</v>
      </c>
      <c r="D1414" t="str">
        <f>"USD"</f>
        <v>USD</v>
      </c>
      <c r="E1414" t="str">
        <f>"2016"</f>
        <v>2016</v>
      </c>
      <c r="F1414" t="str">
        <f>"Mehta"</f>
        <v>Mehta</v>
      </c>
      <c r="G1414" t="str">
        <f>"safirketab"</f>
        <v>safirketab</v>
      </c>
    </row>
    <row r="1415" spans="1:7" x14ac:dyDescent="0.25">
      <c r="A1415" t="str">
        <f>"Organic Chemisty, 2/e"</f>
        <v>Organic Chemisty, 2/e</v>
      </c>
      <c r="B1415" t="str">
        <f>"9788120351264"</f>
        <v>9788120351264</v>
      </c>
      <c r="C1415">
        <v>17.850000000000001</v>
      </c>
      <c r="D1415" t="str">
        <f>"USD"</f>
        <v>USD</v>
      </c>
      <c r="E1415" t="str">
        <f>"2016"</f>
        <v>2016</v>
      </c>
      <c r="F1415" t="str">
        <f>"Mehta"</f>
        <v>Mehta</v>
      </c>
      <c r="G1415" t="str">
        <f>"jahanadib"</f>
        <v>jahanadib</v>
      </c>
    </row>
    <row r="1416" spans="1:7" x14ac:dyDescent="0.25">
      <c r="A1416" t="str">
        <f>"ORGANIC CHEMSTRY INTL ED + STUDY GUIDE &amp; SOLUTIONS MANUAL"</f>
        <v>ORGANIC CHEMSTRY INTL ED + STUDY GUIDE &amp; SOLUTIONS MANUAL</v>
      </c>
      <c r="B1416" t="str">
        <f>"9781473754911"</f>
        <v>9781473754911</v>
      </c>
      <c r="C1416">
        <v>72.25</v>
      </c>
      <c r="D1416" t="str">
        <f>"GBP"</f>
        <v>GBP</v>
      </c>
      <c r="E1416" t="str">
        <f>"2016"</f>
        <v>2016</v>
      </c>
      <c r="F1416" t="str">
        <f>"HART/HADID/CRAINE/H"</f>
        <v>HART/HADID/CRAINE/H</v>
      </c>
      <c r="G1416" t="str">
        <f>"AsarBartar"</f>
        <v>AsarBartar</v>
      </c>
    </row>
    <row r="1417" spans="1:7" x14ac:dyDescent="0.25">
      <c r="A1417" t="str">
        <f>"Organic Crystal Engineering - Frontiers in Crystal Engineering"</f>
        <v>Organic Crystal Engineering - Frontiers in Crystal Engineering</v>
      </c>
      <c r="B1417" t="str">
        <f>"9780470319901"</f>
        <v>9780470319901</v>
      </c>
      <c r="C1417">
        <v>88</v>
      </c>
      <c r="D1417" t="str">
        <f>"USD"</f>
        <v>USD</v>
      </c>
      <c r="E1417" t="str">
        <f>"2010"</f>
        <v>2010</v>
      </c>
      <c r="F1417" t="str">
        <f>"Tiekink"</f>
        <v>Tiekink</v>
      </c>
      <c r="G1417" t="str">
        <f>"safirketab"</f>
        <v>safirketab</v>
      </c>
    </row>
    <row r="1418" spans="1:7" x14ac:dyDescent="0.25">
      <c r="A1418" t="str">
        <f>"Organic Crystal Engineering: Frontiers in Crystal Engineering"</f>
        <v>Organic Crystal Engineering: Frontiers in Crystal Engineering</v>
      </c>
      <c r="B1418" t="str">
        <f>"9780470319901"</f>
        <v>9780470319901</v>
      </c>
      <c r="C1418">
        <v>88</v>
      </c>
      <c r="D1418" t="str">
        <f>"USD"</f>
        <v>USD</v>
      </c>
      <c r="E1418" t="str">
        <f>"2010"</f>
        <v>2010</v>
      </c>
      <c r="F1418" t="str">
        <f>"Tiekink"</f>
        <v>Tiekink</v>
      </c>
      <c r="G1418" t="str">
        <f>"avanddanesh"</f>
        <v>avanddanesh</v>
      </c>
    </row>
    <row r="1419" spans="1:7" x14ac:dyDescent="0.25">
      <c r="A1419" t="str">
        <f>"Organic Electrochemistry, Fifth Edition: Revised and Expanded"</f>
        <v>Organic Electrochemistry, Fifth Edition: Revised and Expanded</v>
      </c>
      <c r="B1419" t="str">
        <f>"9781420084016"</f>
        <v>9781420084016</v>
      </c>
      <c r="C1419">
        <v>208.25</v>
      </c>
      <c r="D1419" t="str">
        <f>"GBP"</f>
        <v>GBP</v>
      </c>
      <c r="E1419" t="str">
        <f>"2016"</f>
        <v>2016</v>
      </c>
      <c r="F1419" t="str">
        <f>"Bernd Speiser(Edito"</f>
        <v>Bernd Speiser(Edito</v>
      </c>
      <c r="G1419" t="str">
        <f>"AsarBartar"</f>
        <v>AsarBartar</v>
      </c>
    </row>
    <row r="1420" spans="1:7" x14ac:dyDescent="0.25">
      <c r="A1420" t="str">
        <f>"Organic Mass Spectrometry in Art and Archaeology"</f>
        <v>Organic Mass Spectrometry in Art and Archaeology</v>
      </c>
      <c r="B1420" t="str">
        <f>"9780470517031"</f>
        <v>9780470517031</v>
      </c>
      <c r="C1420">
        <v>180</v>
      </c>
      <c r="D1420" t="str">
        <f t="shared" ref="D1420:D1463" si="92">"USD"</f>
        <v>USD</v>
      </c>
      <c r="E1420" t="str">
        <f>"2009"</f>
        <v>2009</v>
      </c>
      <c r="F1420" t="str">
        <f>"Colombini"</f>
        <v>Colombini</v>
      </c>
      <c r="G1420" t="str">
        <f>"safirketab"</f>
        <v>safirketab</v>
      </c>
    </row>
    <row r="1421" spans="1:7" x14ac:dyDescent="0.25">
      <c r="A1421" t="str">
        <f>"Organic Photovoltaics: Materials, Device Physics and Manufacturing Technologies,2e"</f>
        <v>Organic Photovoltaics: Materials, Device Physics and Manufacturing Technologies,2e</v>
      </c>
      <c r="B1421" t="str">
        <f>"9783527332250"</f>
        <v>9783527332250</v>
      </c>
      <c r="C1421">
        <v>189.8</v>
      </c>
      <c r="D1421" t="str">
        <f t="shared" si="92"/>
        <v>USD</v>
      </c>
      <c r="E1421" t="str">
        <f>"2014"</f>
        <v>2014</v>
      </c>
      <c r="F1421" t="str">
        <f>"Brabec"</f>
        <v>Brabec</v>
      </c>
      <c r="G1421" t="str">
        <f>"avanddanesh"</f>
        <v>avanddanesh</v>
      </c>
    </row>
    <row r="1422" spans="1:7" x14ac:dyDescent="0.25">
      <c r="A1422" t="str">
        <f>"Organic Reaction Mechanisms 2002"</f>
        <v>Organic Reaction Mechanisms 2002</v>
      </c>
      <c r="B1422" t="str">
        <f>"9780470022030"</f>
        <v>9780470022030</v>
      </c>
      <c r="C1422">
        <v>537</v>
      </c>
      <c r="D1422" t="str">
        <f t="shared" si="92"/>
        <v>USD</v>
      </c>
      <c r="E1422" t="str">
        <f>"2006"</f>
        <v>2006</v>
      </c>
      <c r="F1422" t="str">
        <f>"Knipe-Chemistry"</f>
        <v>Knipe-Chemistry</v>
      </c>
      <c r="G1422" t="str">
        <f>"safirketab"</f>
        <v>safirketab</v>
      </c>
    </row>
    <row r="1423" spans="1:7" x14ac:dyDescent="0.25">
      <c r="A1423" t="str">
        <f>"Organic Reaction Mechanisms 2003"</f>
        <v>Organic Reaction Mechanisms 2003</v>
      </c>
      <c r="B1423" t="str">
        <f>"9780470014905"</f>
        <v>9780470014905</v>
      </c>
      <c r="C1423">
        <v>477</v>
      </c>
      <c r="D1423" t="str">
        <f t="shared" si="92"/>
        <v>USD</v>
      </c>
      <c r="E1423" t="str">
        <f>"2007"</f>
        <v>2007</v>
      </c>
      <c r="F1423" t="str">
        <f>"Knipe-Chemistry"</f>
        <v>Knipe-Chemistry</v>
      </c>
      <c r="G1423" t="str">
        <f>"safirketab"</f>
        <v>safirketab</v>
      </c>
    </row>
    <row r="1424" spans="1:7" x14ac:dyDescent="0.25">
      <c r="A1424" t="str">
        <f>"Organic Reaction Mechanisms 2008"</f>
        <v>Organic Reaction Mechanisms 2008</v>
      </c>
      <c r="B1424" t="str">
        <f>"9780470749814"</f>
        <v>9780470749814</v>
      </c>
      <c r="C1424">
        <v>446.25</v>
      </c>
      <c r="D1424" t="str">
        <f t="shared" si="92"/>
        <v>USD</v>
      </c>
      <c r="E1424" t="str">
        <f>"2011"</f>
        <v>2011</v>
      </c>
      <c r="F1424" t="str">
        <f>"Knipe"</f>
        <v>Knipe</v>
      </c>
      <c r="G1424" t="str">
        <f>"safirketab"</f>
        <v>safirketab</v>
      </c>
    </row>
    <row r="1425" spans="1:7" x14ac:dyDescent="0.25">
      <c r="A1425" t="str">
        <f>"Organic Reaction Mechanisms 2014: An annual survey covering the literature dated January to December 2014"</f>
        <v>Organic Reaction Mechanisms 2014: An annual survey covering the literature dated January to December 2014</v>
      </c>
      <c r="B1425" t="str">
        <f>"9781118941799"</f>
        <v>9781118941799</v>
      </c>
      <c r="C1425">
        <v>526.5</v>
      </c>
      <c r="D1425" t="str">
        <f t="shared" si="92"/>
        <v>USD</v>
      </c>
      <c r="E1425" t="str">
        <f>"2018"</f>
        <v>2018</v>
      </c>
      <c r="F1425" t="str">
        <f>"Knipe"</f>
        <v>Knipe</v>
      </c>
      <c r="G1425" t="str">
        <f>"avanddanesh"</f>
        <v>avanddanesh</v>
      </c>
    </row>
    <row r="1426" spans="1:7" x14ac:dyDescent="0.25">
      <c r="A1426" t="str">
        <f>"Organic Reaction Mechanisms,2005"</f>
        <v>Organic Reaction Mechanisms,2005</v>
      </c>
      <c r="B1426" t="str">
        <f>"9780470034033"</f>
        <v>9780470034033</v>
      </c>
      <c r="C1426">
        <v>596.25</v>
      </c>
      <c r="D1426" t="str">
        <f t="shared" si="92"/>
        <v>USD</v>
      </c>
      <c r="E1426" t="str">
        <f>"2009"</f>
        <v>2009</v>
      </c>
      <c r="F1426" t="str">
        <f>"Knipe"</f>
        <v>Knipe</v>
      </c>
      <c r="G1426" t="str">
        <f>"safirketab"</f>
        <v>safirketab</v>
      </c>
    </row>
    <row r="1427" spans="1:7" x14ac:dyDescent="0.25">
      <c r="A1427" t="str">
        <f>"Organic Reactions V67"</f>
        <v>Organic Reactions V67</v>
      </c>
      <c r="B1427" t="str">
        <f>"9780470041451"</f>
        <v>9780470041451</v>
      </c>
      <c r="C1427">
        <v>96</v>
      </c>
      <c r="D1427" t="str">
        <f t="shared" si="92"/>
        <v>USD</v>
      </c>
      <c r="E1427" t="str">
        <f>"2006"</f>
        <v>2006</v>
      </c>
      <c r="F1427" t="str">
        <f>"Overman"</f>
        <v>Overman</v>
      </c>
      <c r="G1427" t="str">
        <f>"safirketab"</f>
        <v>safirketab</v>
      </c>
    </row>
    <row r="1428" spans="1:7" x14ac:dyDescent="0.25">
      <c r="A1428" t="str">
        <f>"Organic Reactions V69"</f>
        <v>Organic Reactions V69</v>
      </c>
      <c r="B1428" t="str">
        <f>"9780470223970"</f>
        <v>9780470223970</v>
      </c>
      <c r="C1428">
        <v>96</v>
      </c>
      <c r="D1428" t="str">
        <f t="shared" si="92"/>
        <v>USD</v>
      </c>
      <c r="E1428" t="str">
        <f>"2007"</f>
        <v>2007</v>
      </c>
      <c r="F1428" t="str">
        <f>"Overman"</f>
        <v>Overman</v>
      </c>
      <c r="G1428" t="str">
        <f>"safirketab"</f>
        <v>safirketab</v>
      </c>
    </row>
    <row r="1429" spans="1:7" x14ac:dyDescent="0.25">
      <c r="A1429" t="str">
        <f>"Organic Reactions, V 79"</f>
        <v>Organic Reactions, V 79</v>
      </c>
      <c r="B1429" t="str">
        <f>"9781118509418"</f>
        <v>9781118509418</v>
      </c>
      <c r="C1429">
        <v>125.5</v>
      </c>
      <c r="D1429" t="str">
        <f t="shared" si="92"/>
        <v>USD</v>
      </c>
      <c r="E1429" t="str">
        <f>"2013"</f>
        <v>2013</v>
      </c>
      <c r="F1429" t="str">
        <f t="shared" ref="F1429:F1446" si="93">"Denmark"</f>
        <v>Denmark</v>
      </c>
      <c r="G1429" t="str">
        <f t="shared" ref="G1429:G1441" si="94">"avanddanesh"</f>
        <v>avanddanesh</v>
      </c>
    </row>
    <row r="1430" spans="1:7" x14ac:dyDescent="0.25">
      <c r="A1430" t="str">
        <f>"Organic Reactions, V 80"</f>
        <v>Organic Reactions, V 80</v>
      </c>
      <c r="B1430" t="str">
        <f>"9781118513088"</f>
        <v>9781118513088</v>
      </c>
      <c r="C1430">
        <v>125.5</v>
      </c>
      <c r="D1430" t="str">
        <f t="shared" si="92"/>
        <v>USD</v>
      </c>
      <c r="E1430" t="str">
        <f>"2013"</f>
        <v>2013</v>
      </c>
      <c r="F1430" t="str">
        <f t="shared" si="93"/>
        <v>Denmark</v>
      </c>
      <c r="G1430" t="str">
        <f t="shared" si="94"/>
        <v>avanddanesh</v>
      </c>
    </row>
    <row r="1431" spans="1:7" x14ac:dyDescent="0.25">
      <c r="A1431" t="str">
        <f>"Organic Reactions, V 83"</f>
        <v>Organic Reactions, V 83</v>
      </c>
      <c r="B1431" t="str">
        <f>"9781118835227"</f>
        <v>9781118835227</v>
      </c>
      <c r="C1431">
        <v>140.30000000000001</v>
      </c>
      <c r="D1431" t="str">
        <f t="shared" si="92"/>
        <v>USD</v>
      </c>
      <c r="E1431" t="str">
        <f>"2014"</f>
        <v>2014</v>
      </c>
      <c r="F1431" t="str">
        <f t="shared" si="93"/>
        <v>Denmark</v>
      </c>
      <c r="G1431" t="str">
        <f t="shared" si="94"/>
        <v>avanddanesh</v>
      </c>
    </row>
    <row r="1432" spans="1:7" x14ac:dyDescent="0.25">
      <c r="A1432" t="str">
        <f>"Organic Reactions, V 84"</f>
        <v>Organic Reactions, V 84</v>
      </c>
      <c r="B1432" t="str">
        <f>"9781118841907"</f>
        <v>9781118841907</v>
      </c>
      <c r="C1432">
        <v>135.80000000000001</v>
      </c>
      <c r="D1432" t="str">
        <f t="shared" si="92"/>
        <v>USD</v>
      </c>
      <c r="E1432" t="str">
        <f>"2014"</f>
        <v>2014</v>
      </c>
      <c r="F1432" t="str">
        <f t="shared" si="93"/>
        <v>Denmark</v>
      </c>
      <c r="G1432" t="str">
        <f t="shared" si="94"/>
        <v>avanddanesh</v>
      </c>
    </row>
    <row r="1433" spans="1:7" x14ac:dyDescent="0.25">
      <c r="A1433" t="str">
        <f>"Organic Reactions, V 85"</f>
        <v>Organic Reactions, V 85</v>
      </c>
      <c r="B1433" t="str">
        <f>"9781118976517"</f>
        <v>9781118976517</v>
      </c>
      <c r="C1433">
        <v>150.69999999999999</v>
      </c>
      <c r="D1433" t="str">
        <f t="shared" si="92"/>
        <v>USD</v>
      </c>
      <c r="E1433" t="str">
        <f>"2014"</f>
        <v>2014</v>
      </c>
      <c r="F1433" t="str">
        <f t="shared" si="93"/>
        <v>Denmark</v>
      </c>
      <c r="G1433" t="str">
        <f t="shared" si="94"/>
        <v>avanddanesh</v>
      </c>
    </row>
    <row r="1434" spans="1:7" x14ac:dyDescent="0.25">
      <c r="A1434" t="str">
        <f>"Organic Reactions, V 86"</f>
        <v>Organic Reactions, V 86</v>
      </c>
      <c r="B1434" t="str">
        <f>"9781119013990"</f>
        <v>9781119013990</v>
      </c>
      <c r="C1434">
        <v>160.80000000000001</v>
      </c>
      <c r="D1434" t="str">
        <f t="shared" si="92"/>
        <v>USD</v>
      </c>
      <c r="E1434" t="str">
        <f>"2015"</f>
        <v>2015</v>
      </c>
      <c r="F1434" t="str">
        <f t="shared" si="93"/>
        <v>Denmark</v>
      </c>
      <c r="G1434" t="str">
        <f t="shared" si="94"/>
        <v>avanddanesh</v>
      </c>
    </row>
    <row r="1435" spans="1:7" x14ac:dyDescent="0.25">
      <c r="A1435" t="str">
        <f>"Organic Reactions, V 87"</f>
        <v>Organic Reactions, V 87</v>
      </c>
      <c r="B1435" t="str">
        <f>"9781119014003"</f>
        <v>9781119014003</v>
      </c>
      <c r="C1435">
        <v>156</v>
      </c>
      <c r="D1435" t="str">
        <f t="shared" si="92"/>
        <v>USD</v>
      </c>
      <c r="E1435" t="str">
        <f>"2015"</f>
        <v>2015</v>
      </c>
      <c r="F1435" t="str">
        <f t="shared" si="93"/>
        <v>Denmark</v>
      </c>
      <c r="G1435" t="str">
        <f t="shared" si="94"/>
        <v>avanddanesh</v>
      </c>
    </row>
    <row r="1436" spans="1:7" x14ac:dyDescent="0.25">
      <c r="A1436" t="str">
        <f>"Organic Reactions, V 88"</f>
        <v>Organic Reactions, V 88</v>
      </c>
      <c r="B1436" t="str">
        <f>"9781119103851"</f>
        <v>9781119103851</v>
      </c>
      <c r="C1436">
        <v>165.8</v>
      </c>
      <c r="D1436" t="str">
        <f t="shared" si="92"/>
        <v>USD</v>
      </c>
      <c r="E1436" t="str">
        <f>"2016"</f>
        <v>2016</v>
      </c>
      <c r="F1436" t="str">
        <f t="shared" si="93"/>
        <v>Denmark</v>
      </c>
      <c r="G1436" t="str">
        <f t="shared" si="94"/>
        <v>avanddanesh</v>
      </c>
    </row>
    <row r="1437" spans="1:7" x14ac:dyDescent="0.25">
      <c r="A1437" t="str">
        <f>"Organic Reactions, V 90"</f>
        <v>Organic Reactions, V 90</v>
      </c>
      <c r="B1437" t="str">
        <f>"9781119281443"</f>
        <v>9781119281443</v>
      </c>
      <c r="C1437">
        <v>250.8</v>
      </c>
      <c r="D1437" t="str">
        <f t="shared" si="92"/>
        <v>USD</v>
      </c>
      <c r="E1437" t="str">
        <f>"2016"</f>
        <v>2016</v>
      </c>
      <c r="F1437" t="str">
        <f t="shared" si="93"/>
        <v>Denmark</v>
      </c>
      <c r="G1437" t="str">
        <f t="shared" si="94"/>
        <v>avanddanesh</v>
      </c>
    </row>
    <row r="1438" spans="1:7" x14ac:dyDescent="0.25">
      <c r="A1438" t="str">
        <f>"Organic Reactions, V 91"</f>
        <v>Organic Reactions, V 91</v>
      </c>
      <c r="B1438" t="str">
        <f>"9781119281436"</f>
        <v>9781119281436</v>
      </c>
      <c r="C1438">
        <v>265.5</v>
      </c>
      <c r="D1438" t="str">
        <f t="shared" si="92"/>
        <v>USD</v>
      </c>
      <c r="E1438" t="str">
        <f>"2017"</f>
        <v>2017</v>
      </c>
      <c r="F1438" t="str">
        <f t="shared" si="93"/>
        <v>Denmark</v>
      </c>
      <c r="G1438" t="str">
        <f t="shared" si="94"/>
        <v>avanddanesh</v>
      </c>
    </row>
    <row r="1439" spans="1:7" x14ac:dyDescent="0.25">
      <c r="A1439" t="str">
        <f>"Organic Reactions, V 92"</f>
        <v>Organic Reactions, V 92</v>
      </c>
      <c r="B1439" t="str">
        <f>"9781119281429"</f>
        <v>9781119281429</v>
      </c>
      <c r="C1439">
        <v>265.5</v>
      </c>
      <c r="D1439" t="str">
        <f t="shared" si="92"/>
        <v>USD</v>
      </c>
      <c r="E1439" t="str">
        <f>"2017"</f>
        <v>2017</v>
      </c>
      <c r="F1439" t="str">
        <f t="shared" si="93"/>
        <v>Denmark</v>
      </c>
      <c r="G1439" t="str">
        <f t="shared" si="94"/>
        <v>avanddanesh</v>
      </c>
    </row>
    <row r="1440" spans="1:7" x14ac:dyDescent="0.25">
      <c r="A1440" t="str">
        <f>"Organic Reactions, V 93"</f>
        <v>Organic Reactions, V 93</v>
      </c>
      <c r="B1440" t="str">
        <f>"9781119281412"</f>
        <v>9781119281412</v>
      </c>
      <c r="C1440">
        <v>265.5</v>
      </c>
      <c r="D1440" t="str">
        <f t="shared" si="92"/>
        <v>USD</v>
      </c>
      <c r="E1440" t="str">
        <f>"2017"</f>
        <v>2017</v>
      </c>
      <c r="F1440" t="str">
        <f t="shared" si="93"/>
        <v>Denmark</v>
      </c>
      <c r="G1440" t="str">
        <f t="shared" si="94"/>
        <v>avanddanesh</v>
      </c>
    </row>
    <row r="1441" spans="1:7" x14ac:dyDescent="0.25">
      <c r="A1441" t="str">
        <f>"Organic Reactions, V 94"</f>
        <v>Organic Reactions, V 94</v>
      </c>
      <c r="B1441" t="str">
        <f>"9781119308935"</f>
        <v>9781119308935</v>
      </c>
      <c r="C1441">
        <v>265.5</v>
      </c>
      <c r="D1441" t="str">
        <f t="shared" si="92"/>
        <v>USD</v>
      </c>
      <c r="E1441" t="str">
        <f>"2018"</f>
        <v>2018</v>
      </c>
      <c r="F1441" t="str">
        <f t="shared" si="93"/>
        <v>Denmark</v>
      </c>
      <c r="G1441" t="str">
        <f t="shared" si="94"/>
        <v>avanddanesh</v>
      </c>
    </row>
    <row r="1442" spans="1:7" x14ac:dyDescent="0.25">
      <c r="A1442" t="str">
        <f>"Organic Reactions,V70"</f>
        <v>Organic Reactions,V70</v>
      </c>
      <c r="B1442" t="str">
        <f>"9780470254530"</f>
        <v>9780470254530</v>
      </c>
      <c r="C1442">
        <v>96</v>
      </c>
      <c r="D1442" t="str">
        <f t="shared" si="92"/>
        <v>USD</v>
      </c>
      <c r="E1442" t="str">
        <f>"2008"</f>
        <v>2008</v>
      </c>
      <c r="F1442" t="str">
        <f t="shared" si="93"/>
        <v>Denmark</v>
      </c>
      <c r="G1442" t="str">
        <f>"safirketab"</f>
        <v>safirketab</v>
      </c>
    </row>
    <row r="1443" spans="1:7" x14ac:dyDescent="0.25">
      <c r="A1443" t="str">
        <f>"Organic Reactions,V71"</f>
        <v>Organic Reactions,V71</v>
      </c>
      <c r="B1443" t="str">
        <f>"9780470098998"</f>
        <v>9780470098998</v>
      </c>
      <c r="C1443">
        <v>96</v>
      </c>
      <c r="D1443" t="str">
        <f t="shared" si="92"/>
        <v>USD</v>
      </c>
      <c r="E1443" t="str">
        <f>"2008"</f>
        <v>2008</v>
      </c>
      <c r="F1443" t="str">
        <f t="shared" si="93"/>
        <v>Denmark</v>
      </c>
      <c r="G1443" t="str">
        <f>"safirketab"</f>
        <v>safirketab</v>
      </c>
    </row>
    <row r="1444" spans="1:7" x14ac:dyDescent="0.25">
      <c r="A1444" t="str">
        <f>"Organic Reactions,V72"</f>
        <v>Organic Reactions,V72</v>
      </c>
      <c r="B1444" t="str">
        <f>"9780470423745"</f>
        <v>9780470423745</v>
      </c>
      <c r="C1444">
        <v>112.5</v>
      </c>
      <c r="D1444" t="str">
        <f t="shared" si="92"/>
        <v>USD</v>
      </c>
      <c r="E1444" t="str">
        <f>"2009"</f>
        <v>2009</v>
      </c>
      <c r="F1444" t="str">
        <f t="shared" si="93"/>
        <v>Denmark</v>
      </c>
      <c r="G1444" t="str">
        <f>"safirketab"</f>
        <v>safirketab</v>
      </c>
    </row>
    <row r="1445" spans="1:7" x14ac:dyDescent="0.25">
      <c r="A1445" t="str">
        <f>"Organic Reactions,V73"</f>
        <v>Organic Reactions,V73</v>
      </c>
      <c r="B1445" t="str">
        <f>"9780470436905"</f>
        <v>9780470436905</v>
      </c>
      <c r="C1445">
        <v>112.5</v>
      </c>
      <c r="D1445" t="str">
        <f t="shared" si="92"/>
        <v>USD</v>
      </c>
      <c r="E1445" t="str">
        <f>"2009"</f>
        <v>2009</v>
      </c>
      <c r="F1445" t="str">
        <f t="shared" si="93"/>
        <v>Denmark</v>
      </c>
      <c r="G1445" t="str">
        <f>"safirketab"</f>
        <v>safirketab</v>
      </c>
    </row>
    <row r="1446" spans="1:7" x14ac:dyDescent="0.25">
      <c r="A1446" t="str">
        <f>"Organic Reactions,V74"</f>
        <v>Organic Reactions,V74</v>
      </c>
      <c r="B1446" t="str">
        <f>"9780470530481"</f>
        <v>9780470530481</v>
      </c>
      <c r="C1446">
        <v>105</v>
      </c>
      <c r="D1446" t="str">
        <f t="shared" si="92"/>
        <v>USD</v>
      </c>
      <c r="E1446" t="str">
        <f>"2009"</f>
        <v>2009</v>
      </c>
      <c r="F1446" t="str">
        <f t="shared" si="93"/>
        <v>Denmark</v>
      </c>
      <c r="G1446" t="str">
        <f>"safirketab"</f>
        <v>safirketab</v>
      </c>
    </row>
    <row r="1447" spans="1:7" x14ac:dyDescent="0.25">
      <c r="A1447" t="str">
        <f>"Organic Redox Systems: Synthesis, Properties, and Applications"</f>
        <v>Organic Redox Systems: Synthesis, Properties, and Applications</v>
      </c>
      <c r="B1447" t="str">
        <f>"9781118858745"</f>
        <v>9781118858745</v>
      </c>
      <c r="C1447">
        <v>165.8</v>
      </c>
      <c r="D1447" t="str">
        <f t="shared" si="92"/>
        <v>USD</v>
      </c>
      <c r="E1447" t="str">
        <f>"2016"</f>
        <v>2016</v>
      </c>
      <c r="F1447" t="str">
        <f>"Nishinaga"</f>
        <v>Nishinaga</v>
      </c>
      <c r="G1447" t="str">
        <f>"avanddanesh"</f>
        <v>avanddanesh</v>
      </c>
    </row>
    <row r="1448" spans="1:7" x14ac:dyDescent="0.25">
      <c r="A1448" t="str">
        <f>"Organic Stereochemistry: Experimental and Computational Methods"</f>
        <v>Organic Stereochemistry: Experimental and Computational Methods</v>
      </c>
      <c r="B1448" t="str">
        <f>"9783527338221"</f>
        <v>9783527338221</v>
      </c>
      <c r="C1448">
        <v>152</v>
      </c>
      <c r="D1448" t="str">
        <f t="shared" si="92"/>
        <v>USD</v>
      </c>
      <c r="E1448" t="str">
        <f>"2015"</f>
        <v>2015</v>
      </c>
      <c r="F1448" t="str">
        <f>"Zhu"</f>
        <v>Zhu</v>
      </c>
      <c r="G1448" t="str">
        <f>"avanddanesh"</f>
        <v>avanddanesh</v>
      </c>
    </row>
    <row r="1449" spans="1:7" x14ac:dyDescent="0.25">
      <c r="A1449" t="str">
        <f>"Organic Structures from 2D NMR Spectra"</f>
        <v>Organic Structures from 2D NMR Spectra</v>
      </c>
      <c r="B1449" t="str">
        <f>"9781118868942"</f>
        <v>9781118868942</v>
      </c>
      <c r="C1449">
        <v>48</v>
      </c>
      <c r="D1449" t="str">
        <f t="shared" si="92"/>
        <v>USD</v>
      </c>
      <c r="E1449" t="str">
        <f>"2015"</f>
        <v>2015</v>
      </c>
      <c r="F1449" t="str">
        <f>"Field"</f>
        <v>Field</v>
      </c>
      <c r="G1449" t="str">
        <f>"avanddanesh"</f>
        <v>avanddanesh</v>
      </c>
    </row>
    <row r="1450" spans="1:7" x14ac:dyDescent="0.25">
      <c r="A1450" t="str">
        <f>"Organic Syntheses V82"</f>
        <v>Organic Syntheses V82</v>
      </c>
      <c r="B1450" t="str">
        <f>"9780471682561"</f>
        <v>9780471682561</v>
      </c>
      <c r="C1450">
        <v>47.97</v>
      </c>
      <c r="D1450" t="str">
        <f t="shared" si="92"/>
        <v>USD</v>
      </c>
      <c r="E1450" t="str">
        <f>"2005"</f>
        <v>2005</v>
      </c>
      <c r="F1450" t="str">
        <f>"Methods - Synthesis "</f>
        <v xml:space="preserve">Methods - Synthesis </v>
      </c>
      <c r="G1450" t="str">
        <f>"safirketab"</f>
        <v>safirketab</v>
      </c>
    </row>
    <row r="1451" spans="1:7" x14ac:dyDescent="0.25">
      <c r="A1451" t="str">
        <f>"Organic Syntheses V83"</f>
        <v>Organic Syntheses V83</v>
      </c>
      <c r="B1451" t="str">
        <f>"9780471979876"</f>
        <v>9780471979876</v>
      </c>
      <c r="C1451">
        <v>44.97</v>
      </c>
      <c r="D1451" t="str">
        <f t="shared" si="92"/>
        <v>USD</v>
      </c>
      <c r="E1451" t="str">
        <f>"2006"</f>
        <v>2006</v>
      </c>
      <c r="F1451" t="str">
        <f>"Curran"</f>
        <v>Curran</v>
      </c>
      <c r="G1451" t="str">
        <f>"safirketab"</f>
        <v>safirketab</v>
      </c>
    </row>
    <row r="1452" spans="1:7" x14ac:dyDescent="0.25">
      <c r="A1452" t="str">
        <f>"Organic Syntheses, Collective Volume 12"</f>
        <v>Organic Syntheses, Collective Volume 12</v>
      </c>
      <c r="B1452" t="str">
        <f>"9781118117828"</f>
        <v>9781118117828</v>
      </c>
      <c r="C1452">
        <v>160</v>
      </c>
      <c r="D1452" t="str">
        <f t="shared" si="92"/>
        <v>USD</v>
      </c>
      <c r="E1452" t="str">
        <f>"2015"</f>
        <v>2015</v>
      </c>
      <c r="F1452" t="str">
        <f>"Zercher"</f>
        <v>Zercher</v>
      </c>
      <c r="G1452" t="str">
        <f>"avanddanesh"</f>
        <v>avanddanesh</v>
      </c>
    </row>
    <row r="1453" spans="1:7" x14ac:dyDescent="0.25">
      <c r="A1453" t="str">
        <f>"Organic Syntheses, V 87"</f>
        <v>Organic Syntheses, V 87</v>
      </c>
      <c r="B1453" t="str">
        <f>"9781118005149"</f>
        <v>9781118005149</v>
      </c>
      <c r="C1453">
        <v>59.22</v>
      </c>
      <c r="D1453" t="str">
        <f t="shared" si="92"/>
        <v>USD</v>
      </c>
      <c r="E1453" t="str">
        <f>"2011"</f>
        <v>2011</v>
      </c>
      <c r="F1453" t="str">
        <f>"Wipf"</f>
        <v>Wipf</v>
      </c>
      <c r="G1453" t="str">
        <f>"safirketab"</f>
        <v>safirketab</v>
      </c>
    </row>
    <row r="1454" spans="1:7" x14ac:dyDescent="0.25">
      <c r="A1454" t="str">
        <f>"Organic Syntheses, V 89"</f>
        <v>Organic Syntheses, V 89</v>
      </c>
      <c r="B1454" t="str">
        <f>"9781118743195"</f>
        <v>9781118743195</v>
      </c>
      <c r="C1454">
        <v>80.2</v>
      </c>
      <c r="D1454" t="str">
        <f t="shared" si="92"/>
        <v>USD</v>
      </c>
      <c r="E1454" t="str">
        <f>"2014"</f>
        <v>2014</v>
      </c>
      <c r="F1454" t="str">
        <f>"Lautens"</f>
        <v>Lautens</v>
      </c>
      <c r="G1454" t="str">
        <f>"avanddanesh"</f>
        <v>avanddanesh</v>
      </c>
    </row>
    <row r="1455" spans="1:7" x14ac:dyDescent="0.25">
      <c r="A1455" t="str">
        <f>"Organic Syntheses, V 90"</f>
        <v>Organic Syntheses, V 90</v>
      </c>
      <c r="B1455" t="str">
        <f>"9781118893845"</f>
        <v>9781118893845</v>
      </c>
      <c r="C1455">
        <v>77.2</v>
      </c>
      <c r="D1455" t="str">
        <f t="shared" si="92"/>
        <v>USD</v>
      </c>
      <c r="E1455" t="str">
        <f>"2014"</f>
        <v>2014</v>
      </c>
      <c r="F1455" t="str">
        <f>"Hughes"</f>
        <v>Hughes</v>
      </c>
      <c r="G1455" t="str">
        <f>"avanddanesh"</f>
        <v>avanddanesh</v>
      </c>
    </row>
    <row r="1456" spans="1:7" x14ac:dyDescent="0.25">
      <c r="A1456" t="str">
        <f>"Organic Syntheses, V 91"</f>
        <v>Organic Syntheses, V 91</v>
      </c>
      <c r="B1456" t="str">
        <f>"9781119054160"</f>
        <v>9781119054160</v>
      </c>
      <c r="C1456">
        <v>100</v>
      </c>
      <c r="D1456" t="str">
        <f t="shared" si="92"/>
        <v>USD</v>
      </c>
      <c r="E1456" t="str">
        <f>"2015"</f>
        <v>2015</v>
      </c>
      <c r="F1456" t="str">
        <f>"Brummond"</f>
        <v>Brummond</v>
      </c>
      <c r="G1456" t="str">
        <f>"avanddanesh"</f>
        <v>avanddanesh</v>
      </c>
    </row>
    <row r="1457" spans="1:7" x14ac:dyDescent="0.25">
      <c r="A1457" t="str">
        <f>"Organic Syntheses, V 93"</f>
        <v>Organic Syntheses, V 93</v>
      </c>
      <c r="B1457" t="str">
        <f>"9781119349020"</f>
        <v>9781119349020</v>
      </c>
      <c r="C1457">
        <v>112.5</v>
      </c>
      <c r="D1457" t="str">
        <f t="shared" si="92"/>
        <v>USD</v>
      </c>
      <c r="E1457" t="str">
        <f>"2018"</f>
        <v>2018</v>
      </c>
      <c r="F1457" t="str">
        <f>"Davies"</f>
        <v>Davies</v>
      </c>
      <c r="G1457" t="str">
        <f>"avanddanesh"</f>
        <v>avanddanesh</v>
      </c>
    </row>
    <row r="1458" spans="1:7" x14ac:dyDescent="0.25">
      <c r="A1458" t="str">
        <f>"Organic Syntheses,V85"</f>
        <v>Organic Syntheses,V85</v>
      </c>
      <c r="B1458" t="str">
        <f>"9780470432273"</f>
        <v>9780470432273</v>
      </c>
      <c r="C1458">
        <v>47.97</v>
      </c>
      <c r="D1458" t="str">
        <f t="shared" si="92"/>
        <v>USD</v>
      </c>
      <c r="E1458" t="str">
        <f>"2008"</f>
        <v>2008</v>
      </c>
      <c r="F1458" t="str">
        <f>"Denmark"</f>
        <v>Denmark</v>
      </c>
      <c r="G1458" t="str">
        <f>"safirketab"</f>
        <v>safirketab</v>
      </c>
    </row>
    <row r="1459" spans="1:7" x14ac:dyDescent="0.25">
      <c r="A1459" t="str">
        <f>"Organic Syntheses,V86"</f>
        <v>Organic Syntheses,V86</v>
      </c>
      <c r="B1459" t="str">
        <f>"9780470556146"</f>
        <v>9780470556146</v>
      </c>
      <c r="C1459">
        <v>59.2</v>
      </c>
      <c r="D1459" t="str">
        <f t="shared" si="92"/>
        <v>USD</v>
      </c>
      <c r="E1459" t="str">
        <f>"2010"</f>
        <v>2010</v>
      </c>
      <c r="F1459" t="str">
        <f>"Ragan"</f>
        <v>Ragan</v>
      </c>
      <c r="G1459" t="str">
        <f>"safirketab"</f>
        <v>safirketab</v>
      </c>
    </row>
    <row r="1460" spans="1:7" x14ac:dyDescent="0.25">
      <c r="A1460" t="str">
        <f>"Organic Synthesis"</f>
        <v>Organic Synthesis</v>
      </c>
      <c r="B1460" t="str">
        <f>"9780128005132"</f>
        <v>9780128005132</v>
      </c>
      <c r="C1460">
        <v>135</v>
      </c>
      <c r="D1460" t="str">
        <f t="shared" si="92"/>
        <v>USD</v>
      </c>
      <c r="E1460" t="str">
        <f>"2017"</f>
        <v>2017</v>
      </c>
      <c r="F1460" t="str">
        <f>"Smith, Michael B"</f>
        <v>Smith, Michael B</v>
      </c>
      <c r="G1460" t="str">
        <f>"dehkadehketab"</f>
        <v>dehkadehketab</v>
      </c>
    </row>
    <row r="1461" spans="1:7" x14ac:dyDescent="0.25">
      <c r="A1461" t="str">
        <f>"Organic Synthesis and Molecular Engineering"</f>
        <v>Organic Synthesis and Molecular Engineering</v>
      </c>
      <c r="B1461" t="str">
        <f>"9781118150924"</f>
        <v>9781118150924</v>
      </c>
      <c r="C1461">
        <v>120</v>
      </c>
      <c r="D1461" t="str">
        <f t="shared" si="92"/>
        <v>USD</v>
      </c>
      <c r="E1461" t="str">
        <f>"2014"</f>
        <v>2014</v>
      </c>
      <c r="F1461" t="str">
        <f>"Nielsen"</f>
        <v>Nielsen</v>
      </c>
      <c r="G1461" t="str">
        <f>"avanddanesh"</f>
        <v>avanddanesh</v>
      </c>
    </row>
    <row r="1462" spans="1:7" x14ac:dyDescent="0.25">
      <c r="A1462" t="str">
        <f>"Organic Synthesis Using Transition Metals,2e"</f>
        <v>Organic Synthesis Using Transition Metals,2e</v>
      </c>
      <c r="B1462" t="str">
        <f>"9781119978947"</f>
        <v>9781119978947</v>
      </c>
      <c r="C1462">
        <v>81</v>
      </c>
      <c r="D1462" t="str">
        <f t="shared" si="92"/>
        <v>USD</v>
      </c>
      <c r="E1462" t="str">
        <f>"2012"</f>
        <v>2012</v>
      </c>
      <c r="F1462" t="str">
        <f>"Bates"</f>
        <v>Bates</v>
      </c>
      <c r="G1462" t="str">
        <f>"avanddanesh"</f>
        <v>avanddanesh</v>
      </c>
    </row>
    <row r="1463" spans="1:7" x14ac:dyDescent="0.25">
      <c r="A1463" t="str">
        <f>"Organic Synthesis with Enzymes in Non-Aqueous Media"</f>
        <v>Organic Synthesis with Enzymes in Non-Aqueous Media</v>
      </c>
      <c r="B1463" t="str">
        <f>"9783527318469"</f>
        <v>9783527318469</v>
      </c>
      <c r="C1463">
        <v>135</v>
      </c>
      <c r="D1463" t="str">
        <f t="shared" si="92"/>
        <v>USD</v>
      </c>
      <c r="E1463" t="str">
        <f>"2008"</f>
        <v>2008</v>
      </c>
      <c r="F1463" t="str">
        <f>"Carrea"</f>
        <v>Carrea</v>
      </c>
      <c r="G1463" t="str">
        <f>"safirketab"</f>
        <v>safirketab</v>
      </c>
    </row>
    <row r="1464" spans="1:7" x14ac:dyDescent="0.25">
      <c r="A1464" t="str">
        <f>"Organic Trace Analysis"</f>
        <v>Organic Trace Analysis</v>
      </c>
      <c r="B1464" t="str">
        <f>"9783110441147"</f>
        <v>9783110441147</v>
      </c>
      <c r="C1464">
        <v>53.95</v>
      </c>
      <c r="D1464" t="str">
        <f>"EUR"</f>
        <v>EUR</v>
      </c>
      <c r="E1464" t="str">
        <f>"2017"</f>
        <v>2017</v>
      </c>
      <c r="F1464" t="str">
        <f>"Nie?ner, Reinhard /"</f>
        <v>Nie?ner, Reinhard /</v>
      </c>
      <c r="G1464" t="str">
        <f>"AsarBartar"</f>
        <v>AsarBartar</v>
      </c>
    </row>
    <row r="1465" spans="1:7" x14ac:dyDescent="0.25">
      <c r="A1465" t="str">
        <f>"Organo Main Group Chemistry"</f>
        <v>Organo Main Group Chemistry</v>
      </c>
      <c r="B1465" t="str">
        <f>"9780470450338"</f>
        <v>9780470450338</v>
      </c>
      <c r="C1465">
        <v>37.200000000000003</v>
      </c>
      <c r="D1465" t="str">
        <f>"USD"</f>
        <v>USD</v>
      </c>
      <c r="E1465" t="str">
        <f>"2011"</f>
        <v>2011</v>
      </c>
      <c r="F1465" t="str">
        <f>"Akiba"</f>
        <v>Akiba</v>
      </c>
      <c r="G1465" t="str">
        <f>"avanddanesh"</f>
        <v>avanddanesh</v>
      </c>
    </row>
    <row r="1466" spans="1:7" x14ac:dyDescent="0.25">
      <c r="A1466" t="str">
        <f>"Organometallic Chemistry"</f>
        <v>Organometallic Chemistry</v>
      </c>
      <c r="B1466" t="str">
        <f>"9781849735834"</f>
        <v>9781849735834</v>
      </c>
      <c r="C1466">
        <v>173.3</v>
      </c>
      <c r="D1466" t="str">
        <f>"GBP"</f>
        <v>GBP</v>
      </c>
      <c r="E1466" t="str">
        <f>"2014"</f>
        <v>2014</v>
      </c>
      <c r="F1466" t="str">
        <f>"Anant R. Kapdi(Edito"</f>
        <v>Anant R. Kapdi(Edito</v>
      </c>
      <c r="G1466" t="str">
        <f>"arzinbooks"</f>
        <v>arzinbooks</v>
      </c>
    </row>
    <row r="1467" spans="1:7" x14ac:dyDescent="0.25">
      <c r="A1467" t="str">
        <f>"Organometallic Chemistry of N-heterocyclic Carbenes"</f>
        <v>Organometallic Chemistry of N-heterocyclic Carbenes</v>
      </c>
      <c r="B1467" t="str">
        <f>"9781118593776"</f>
        <v>9781118593776</v>
      </c>
      <c r="C1467">
        <v>81</v>
      </c>
      <c r="D1467" t="str">
        <f>"USD"</f>
        <v>USD</v>
      </c>
      <c r="E1467" t="str">
        <f>"2017"</f>
        <v>2017</v>
      </c>
      <c r="F1467" t="str">
        <f>"Huynh"</f>
        <v>Huynh</v>
      </c>
      <c r="G1467" t="str">
        <f>"avanddanesh"</f>
        <v>avanddanesh</v>
      </c>
    </row>
    <row r="1468" spans="1:7" x14ac:dyDescent="0.25">
      <c r="A1468" t="str">
        <f>"Organometallic Compounds of Low-Coordinate Si, Ge, Sn and Pb: From Phantom Species to Stable Compounds"</f>
        <v>Organometallic Compounds of Low-Coordinate Si, Ge, Sn and Pb: From Phantom Species to Stable Compounds</v>
      </c>
      <c r="B1468" t="str">
        <f>"9780470725436"</f>
        <v>9780470725436</v>
      </c>
      <c r="C1468">
        <v>70</v>
      </c>
      <c r="D1468" t="str">
        <f>"USD"</f>
        <v>USD</v>
      </c>
      <c r="E1468" t="str">
        <f>"2010"</f>
        <v>2010</v>
      </c>
      <c r="F1468" t="str">
        <f>"Lee"</f>
        <v>Lee</v>
      </c>
      <c r="G1468" t="str">
        <f>"avanddanesh"</f>
        <v>avanddanesh</v>
      </c>
    </row>
    <row r="1469" spans="1:7" x14ac:dyDescent="0.25">
      <c r="A1469" t="str">
        <f>"Organometallic Flow Chemistry"</f>
        <v>Organometallic Flow Chemistry</v>
      </c>
      <c r="B1469" t="str">
        <f>"9783319332413"</f>
        <v>9783319332413</v>
      </c>
      <c r="C1469">
        <v>206.99</v>
      </c>
      <c r="D1469" t="str">
        <f>"EUR"</f>
        <v>EUR</v>
      </c>
      <c r="E1469" t="str">
        <f>"2016"</f>
        <v>2016</v>
      </c>
      <c r="F1469" t="str">
        <f>"NoÃ«l"</f>
        <v>NoÃ«l</v>
      </c>
      <c r="G1469" t="str">
        <f>"negarestanabi"</f>
        <v>negarestanabi</v>
      </c>
    </row>
    <row r="1470" spans="1:7" x14ac:dyDescent="0.25">
      <c r="A1470" t="str">
        <f>"Organometallic Fluorine Chemistry"</f>
        <v>Organometallic Fluorine Chemistry</v>
      </c>
      <c r="B1470" t="str">
        <f>"9783319220956"</f>
        <v>9783319220956</v>
      </c>
      <c r="C1470">
        <v>224.99</v>
      </c>
      <c r="D1470" t="str">
        <f>"EUR"</f>
        <v>EUR</v>
      </c>
      <c r="E1470" t="str">
        <f>"2015"</f>
        <v>2015</v>
      </c>
      <c r="F1470" t="str">
        <f>"Braun"</f>
        <v>Braun</v>
      </c>
      <c r="G1470" t="str">
        <f>"negarestanabi"</f>
        <v>negarestanabi</v>
      </c>
    </row>
    <row r="1471" spans="1:7" x14ac:dyDescent="0.25">
      <c r="A1471" t="str">
        <f>"Organophosphorus Chemistry"</f>
        <v>Organophosphorus Chemistry</v>
      </c>
      <c r="B1471" t="str">
        <f>"9781849739429"</f>
        <v>9781849739429</v>
      </c>
      <c r="C1471">
        <v>173.3</v>
      </c>
      <c r="D1471" t="str">
        <f>"GBP"</f>
        <v>GBP</v>
      </c>
      <c r="E1471" t="str">
        <f>"2014"</f>
        <v>2014</v>
      </c>
      <c r="F1471" t="str">
        <f>"John C Tebby(Editor)"</f>
        <v>John C Tebby(Editor)</v>
      </c>
      <c r="G1471" t="str">
        <f>"arzinbooks"</f>
        <v>arzinbooks</v>
      </c>
    </row>
    <row r="1472" spans="1:7" x14ac:dyDescent="0.25">
      <c r="A1472" t="str">
        <f>"Organoselenium Compounds in Biology and Medicine : Synthesis, Biological and Therapeutic Treatments"</f>
        <v>Organoselenium Compounds in Biology and Medicine : Synthesis, Biological and Therapeutic Treatments</v>
      </c>
      <c r="B1472" t="str">
        <f>"9781788010290"</f>
        <v>9781788010290</v>
      </c>
      <c r="C1472">
        <v>152.19999999999999</v>
      </c>
      <c r="D1472" t="str">
        <f>"GBP"</f>
        <v>GBP</v>
      </c>
      <c r="E1472" t="str">
        <f>"2018"</f>
        <v>2018</v>
      </c>
      <c r="F1472" t="str">
        <f>"Vimal Kumar Jain,K I"</f>
        <v>Vimal Kumar Jain,K I</v>
      </c>
      <c r="G1472" t="str">
        <f>"arzinbooks"</f>
        <v>arzinbooks</v>
      </c>
    </row>
    <row r="1473" spans="1:7" x14ac:dyDescent="0.25">
      <c r="A1473" t="str">
        <f>"Organosilicon Compounds, From Theory to Synthesis to Applications"</f>
        <v>Organosilicon Compounds, From Theory to Synthesis to Applications</v>
      </c>
      <c r="B1473" t="str">
        <f>"9780128019702"</f>
        <v>9780128019702</v>
      </c>
      <c r="C1473">
        <v>202.5</v>
      </c>
      <c r="D1473" t="str">
        <f>"USD"</f>
        <v>USD</v>
      </c>
      <c r="E1473" t="str">
        <f>"2017"</f>
        <v>2017</v>
      </c>
      <c r="F1473" t="str">
        <f>"Lee"</f>
        <v>Lee</v>
      </c>
      <c r="G1473" t="str">
        <f>"dehkadehketab"</f>
        <v>dehkadehketab</v>
      </c>
    </row>
    <row r="1474" spans="1:7" x14ac:dyDescent="0.25">
      <c r="A1474" t="str">
        <f>"Organosulfur Chemistry in Asymmetric Synthesis"</f>
        <v>Organosulfur Chemistry in Asymmetric Synthesis</v>
      </c>
      <c r="B1474" t="str">
        <f>"9783527318544"</f>
        <v>9783527318544</v>
      </c>
      <c r="C1474">
        <v>135</v>
      </c>
      <c r="D1474" t="str">
        <f>"USD"</f>
        <v>USD</v>
      </c>
      <c r="E1474" t="str">
        <f>"2008"</f>
        <v>2008</v>
      </c>
      <c r="F1474" t="str">
        <f>"Toru"</f>
        <v>Toru</v>
      </c>
      <c r="G1474" t="str">
        <f>"safirketab"</f>
        <v>safirketab</v>
      </c>
    </row>
    <row r="1475" spans="1:7" x14ac:dyDescent="0.25">
      <c r="A1475" t="str">
        <f>"Orphan Drugs and Rare Diseases"</f>
        <v>Orphan Drugs and Rare Diseases</v>
      </c>
      <c r="B1475" t="str">
        <f>"9781849738064"</f>
        <v>9781849738064</v>
      </c>
      <c r="C1475">
        <v>96.3</v>
      </c>
      <c r="D1475" t="str">
        <f>"GBP"</f>
        <v>GBP</v>
      </c>
      <c r="E1475" t="str">
        <f>"2014"</f>
        <v>2014</v>
      </c>
      <c r="F1475" t="str">
        <f>"David C Pryde(Editor"</f>
        <v>David C Pryde(Editor</v>
      </c>
      <c r="G1475" t="str">
        <f>"arzinbooks"</f>
        <v>arzinbooks</v>
      </c>
    </row>
    <row r="1476" spans="1:7" x14ac:dyDescent="0.25">
      <c r="A1476" t="str">
        <f>"Outstanding Marine Molecules"</f>
        <v>Outstanding Marine Molecules</v>
      </c>
      <c r="B1476" t="str">
        <f>"9783527334650"</f>
        <v>9783527334650</v>
      </c>
      <c r="C1476">
        <v>166.5</v>
      </c>
      <c r="D1476" t="str">
        <f t="shared" ref="D1476:D1481" si="95">"USD"</f>
        <v>USD</v>
      </c>
      <c r="E1476" t="str">
        <f>"2014"</f>
        <v>2014</v>
      </c>
      <c r="F1476" t="str">
        <f>"La Barre"</f>
        <v>La Barre</v>
      </c>
      <c r="G1476" t="str">
        <f>"avanddanesh"</f>
        <v>avanddanesh</v>
      </c>
    </row>
    <row r="1477" spans="1:7" x14ac:dyDescent="0.25">
      <c r="A1477" t="str">
        <f>"Oxidation of C-H Bonds"</f>
        <v>Oxidation of C-H Bonds</v>
      </c>
      <c r="B1477" t="str">
        <f>"9781119092520"</f>
        <v>9781119092520</v>
      </c>
      <c r="C1477">
        <v>175.5</v>
      </c>
      <c r="D1477" t="str">
        <f t="shared" si="95"/>
        <v>USD</v>
      </c>
      <c r="E1477" t="str">
        <f>"2017"</f>
        <v>2017</v>
      </c>
      <c r="F1477" t="str">
        <f>"Lu"</f>
        <v>Lu</v>
      </c>
      <c r="G1477" t="str">
        <f>"avanddanesh"</f>
        <v>avanddanesh</v>
      </c>
    </row>
    <row r="1478" spans="1:7" x14ac:dyDescent="0.25">
      <c r="A1478" t="str">
        <f>"Oxidative Cross-Coupling Reactions"</f>
        <v>Oxidative Cross-Coupling Reactions</v>
      </c>
      <c r="B1478" t="str">
        <f>"9783527336883"</f>
        <v>9783527336883</v>
      </c>
      <c r="C1478">
        <v>148.80000000000001</v>
      </c>
      <c r="D1478" t="str">
        <f t="shared" si="95"/>
        <v>USD</v>
      </c>
      <c r="E1478" t="str">
        <f>"2016"</f>
        <v>2016</v>
      </c>
      <c r="F1478" t="str">
        <f>"Lei"</f>
        <v>Lei</v>
      </c>
      <c r="G1478" t="str">
        <f>"avanddanesh"</f>
        <v>avanddanesh</v>
      </c>
    </row>
    <row r="1479" spans="1:7" x14ac:dyDescent="0.25">
      <c r="A1479" t="str">
        <f>"Patent Law Basics for Chemists and Research Professionals"</f>
        <v>Patent Law Basics for Chemists and Research Professionals</v>
      </c>
      <c r="B1479" t="str">
        <f>"9780128035238"</f>
        <v>9780128035238</v>
      </c>
      <c r="C1479">
        <v>76.45</v>
      </c>
      <c r="D1479" t="str">
        <f t="shared" si="95"/>
        <v>USD</v>
      </c>
      <c r="E1479" t="str">
        <f>"2017"</f>
        <v>2017</v>
      </c>
      <c r="F1479" t="str">
        <f>"Hasford"</f>
        <v>Hasford</v>
      </c>
      <c r="G1479" t="str">
        <f>"dehkadehketab"</f>
        <v>dehkadehketab</v>
      </c>
    </row>
    <row r="1480" spans="1:7" x14ac:dyDescent="0.25">
      <c r="A1480" t="str">
        <f>"Pauli Exclusion Principle: Origin, Verifications, and Applications"</f>
        <v>Pauli Exclusion Principle: Origin, Verifications, and Applications</v>
      </c>
      <c r="B1480" t="str">
        <f>"9781118795323"</f>
        <v>9781118795323</v>
      </c>
      <c r="C1480">
        <v>102</v>
      </c>
      <c r="D1480" t="str">
        <f t="shared" si="95"/>
        <v>USD</v>
      </c>
      <c r="E1480" t="str">
        <f>"2016"</f>
        <v>2016</v>
      </c>
      <c r="F1480" t="str">
        <f>"Kaplan"</f>
        <v>Kaplan</v>
      </c>
      <c r="G1480" t="str">
        <f>"avanddanesh"</f>
        <v>avanddanesh</v>
      </c>
    </row>
    <row r="1481" spans="1:7" x14ac:dyDescent="0.25">
      <c r="A1481" t="str">
        <f>"Pauson-Khand Reaction: Scope, Variations and Applications"</f>
        <v>Pauson-Khand Reaction: Scope, Variations and Applications</v>
      </c>
      <c r="B1481" t="str">
        <f>"9780470970768"</f>
        <v>9780470970768</v>
      </c>
      <c r="C1481">
        <v>81</v>
      </c>
      <c r="D1481" t="str">
        <f t="shared" si="95"/>
        <v>USD</v>
      </c>
      <c r="E1481" t="str">
        <f>"2012"</f>
        <v>2012</v>
      </c>
      <c r="F1481" t="str">
        <f>"Rios Torres"</f>
        <v>Rios Torres</v>
      </c>
      <c r="G1481" t="str">
        <f>"avanddanesh"</f>
        <v>avanddanesh</v>
      </c>
    </row>
    <row r="1482" spans="1:7" x14ac:dyDescent="0.25">
      <c r="A1482" t="str">
        <f>"Pedagogic Roles of Animations and Simulations in Chemistry Courses (ACS Symposium)"</f>
        <v>Pedagogic Roles of Animations and Simulations in Chemistry Courses (ACS Symposium)</v>
      </c>
      <c r="B1482" t="str">
        <f>"9780841228269"</f>
        <v>9780841228269</v>
      </c>
      <c r="C1482">
        <v>60</v>
      </c>
      <c r="D1482" t="str">
        <f>"GBP"</f>
        <v>GBP</v>
      </c>
      <c r="E1482" t="str">
        <f>"2014"</f>
        <v>2014</v>
      </c>
      <c r="F1482" t="str">
        <f>"Jerry P. Suits"</f>
        <v>Jerry P. Suits</v>
      </c>
      <c r="G1482" t="str">
        <f>"arzinbooks"</f>
        <v>arzinbooks</v>
      </c>
    </row>
    <row r="1483" spans="1:7" x14ac:dyDescent="0.25">
      <c r="A1483" t="str">
        <f>"Peptides from A to Z: A Concise Encyclopedia"</f>
        <v>Peptides from A to Z: A Concise Encyclopedia</v>
      </c>
      <c r="B1483" t="str">
        <f>"9783527317226"</f>
        <v>9783527317226</v>
      </c>
      <c r="C1483">
        <v>90</v>
      </c>
      <c r="D1483" t="str">
        <f>"USD"</f>
        <v>USD</v>
      </c>
      <c r="E1483" t="str">
        <f>"2008"</f>
        <v>2008</v>
      </c>
      <c r="F1483" t="str">
        <f>"Sewald"</f>
        <v>Sewald</v>
      </c>
      <c r="G1483" t="str">
        <f>"safirketab"</f>
        <v>safirketab</v>
      </c>
    </row>
    <row r="1484" spans="1:7" x14ac:dyDescent="0.25">
      <c r="A1484" t="str">
        <f>"Peptidomimetics in Organic and Medicinal Chemistry"</f>
        <v>Peptidomimetics in Organic and Medicinal Chemistry</v>
      </c>
      <c r="B1484" t="str">
        <f>"9781119950608"</f>
        <v>9781119950608</v>
      </c>
      <c r="C1484">
        <v>97.5</v>
      </c>
      <c r="D1484" t="str">
        <f>"USD"</f>
        <v>USD</v>
      </c>
      <c r="E1484" t="str">
        <f>"2014"</f>
        <v>2014</v>
      </c>
      <c r="F1484" t="str">
        <f>"Guarna"</f>
        <v>Guarna</v>
      </c>
      <c r="G1484" t="str">
        <f>"avanddanesh"</f>
        <v>avanddanesh</v>
      </c>
    </row>
    <row r="1485" spans="1:7" x14ac:dyDescent="0.25">
      <c r="A1485" t="str">
        <f>"Pericyclic Chemistry, Orbital Mechanisms and Stereochemistry"</f>
        <v>Pericyclic Chemistry, Orbital Mechanisms and Stereochemistry</v>
      </c>
      <c r="B1485" t="str">
        <f>"9780128149560"</f>
        <v>9780128149560</v>
      </c>
      <c r="C1485">
        <v>202.5</v>
      </c>
      <c r="D1485" t="str">
        <f>"USD"</f>
        <v>USD</v>
      </c>
      <c r="E1485" t="str">
        <f>"2018"</f>
        <v>2018</v>
      </c>
      <c r="F1485" t="str">
        <f>"Mandal"</f>
        <v>Mandal</v>
      </c>
      <c r="G1485" t="str">
        <f>"dehkadehketab"</f>
        <v>dehkadehketab</v>
      </c>
    </row>
    <row r="1486" spans="1:7" x14ac:dyDescent="0.25">
      <c r="A1486" t="str">
        <f>"PERRY'S CHEMICAL ENGINEER'S HANDBOOK, 9/ed, HB"</f>
        <v>PERRY'S CHEMICAL ENGINEER'S HANDBOOK, 9/ed, HB</v>
      </c>
      <c r="B1486" t="str">
        <f>"9780071422949"</f>
        <v>9780071422949</v>
      </c>
      <c r="C1486">
        <v>139.30000000000001</v>
      </c>
      <c r="D1486" t="str">
        <f>"USD"</f>
        <v>USD</v>
      </c>
      <c r="E1486" t="str">
        <f>"2007"</f>
        <v>2007</v>
      </c>
      <c r="F1486" t="str">
        <f>"Green"</f>
        <v>Green</v>
      </c>
      <c r="G1486" t="str">
        <f>"supply"</f>
        <v>supply</v>
      </c>
    </row>
    <row r="1487" spans="1:7" x14ac:dyDescent="0.25">
      <c r="A1487" t="str">
        <f>"Perspectives on Fluorescence: A Tribute to Gregorio Weber"</f>
        <v>Perspectives on Fluorescence: A Tribute to Gregorio Weber</v>
      </c>
      <c r="B1487" t="str">
        <f>"9783319413266"</f>
        <v>9783319413266</v>
      </c>
      <c r="C1487">
        <v>269.99</v>
      </c>
      <c r="D1487" t="str">
        <f>"EUR"</f>
        <v>EUR</v>
      </c>
      <c r="E1487" t="str">
        <f>"2016"</f>
        <v>2016</v>
      </c>
      <c r="F1487" t="str">
        <f>"Jameson"</f>
        <v>Jameson</v>
      </c>
      <c r="G1487" t="str">
        <f>"negarestanabi"</f>
        <v>negarestanabi</v>
      </c>
    </row>
    <row r="1488" spans="1:7" x14ac:dyDescent="0.25">
      <c r="A1488" t="str">
        <f>"Perspectives on Structure and Mechanism in Organic Chemistry, Solutions Manual,2e"</f>
        <v>Perspectives on Structure and Mechanism in Organic Chemistry, Solutions Manual,2e</v>
      </c>
      <c r="B1488" t="str">
        <f>"9780470261156"</f>
        <v>9780470261156</v>
      </c>
      <c r="C1488">
        <v>19.2</v>
      </c>
      <c r="D1488" t="str">
        <f t="shared" ref="D1488:D1493" si="96">"USD"</f>
        <v>USD</v>
      </c>
      <c r="E1488" t="str">
        <f>"2011"</f>
        <v>2011</v>
      </c>
      <c r="F1488" t="str">
        <f>"Carroll"</f>
        <v>Carroll</v>
      </c>
      <c r="G1488" t="str">
        <f>"avanddanesh"</f>
        <v>avanddanesh</v>
      </c>
    </row>
    <row r="1489" spans="1:7" x14ac:dyDescent="0.25">
      <c r="A1489" t="str">
        <f>"Pesticide Chemistry: Crop Protection, Public Health, Environmental Safety"</f>
        <v>Pesticide Chemistry: Crop Protection, Public Health, Environmental Safety</v>
      </c>
      <c r="B1489" t="str">
        <f>"9783527316632"</f>
        <v>9783527316632</v>
      </c>
      <c r="C1489">
        <v>147</v>
      </c>
      <c r="D1489" t="str">
        <f t="shared" si="96"/>
        <v>USD</v>
      </c>
      <c r="E1489" t="str">
        <f>"2007"</f>
        <v>2007</v>
      </c>
      <c r="F1489" t="str">
        <f>"Ohkawa"</f>
        <v>Ohkawa</v>
      </c>
      <c r="G1489" t="str">
        <f>"safirketab"</f>
        <v>safirketab</v>
      </c>
    </row>
    <row r="1490" spans="1:7" x14ac:dyDescent="0.25">
      <c r="A1490" t="str">
        <f>"Petroleum Refining Technology"</f>
        <v>Petroleum Refining Technology</v>
      </c>
      <c r="B1490" t="str">
        <f>"9788123925431"</f>
        <v>9788123925431</v>
      </c>
      <c r="C1490">
        <v>17.100000000000001</v>
      </c>
      <c r="D1490" t="str">
        <f t="shared" si="96"/>
        <v>USD</v>
      </c>
      <c r="E1490" t="str">
        <f>"2015"</f>
        <v>2015</v>
      </c>
      <c r="F1490" t="str">
        <f>"Mall "</f>
        <v xml:space="preserve">Mall </v>
      </c>
      <c r="G1490" t="str">
        <f>"safirketab"</f>
        <v>safirketab</v>
      </c>
    </row>
    <row r="1491" spans="1:7" x14ac:dyDescent="0.25">
      <c r="A1491" t="str">
        <f>"Petroleum Refining Technology"</f>
        <v>Petroleum Refining Technology</v>
      </c>
      <c r="B1491" t="str">
        <f>"9788123925431"</f>
        <v>9788123925431</v>
      </c>
      <c r="C1491">
        <v>17.100000000000001</v>
      </c>
      <c r="D1491" t="str">
        <f t="shared" si="96"/>
        <v>USD</v>
      </c>
      <c r="E1491" t="str">
        <f>"2015"</f>
        <v>2015</v>
      </c>
      <c r="F1491" t="str">
        <f>"Mall "</f>
        <v xml:space="preserve">Mall </v>
      </c>
      <c r="G1491" t="str">
        <f>"jahanadib"</f>
        <v>jahanadib</v>
      </c>
    </row>
    <row r="1492" spans="1:7" x14ac:dyDescent="0.25">
      <c r="A1492" t="str">
        <f>"Pharmaceutical Amorphous Solid Dispersions"</f>
        <v>Pharmaceutical Amorphous Solid Dispersions</v>
      </c>
      <c r="B1492" t="str">
        <f>"9781118455203"</f>
        <v>9781118455203</v>
      </c>
      <c r="C1492">
        <v>144.80000000000001</v>
      </c>
      <c r="D1492" t="str">
        <f t="shared" si="96"/>
        <v>USD</v>
      </c>
      <c r="E1492" t="str">
        <f>"2015"</f>
        <v>2015</v>
      </c>
      <c r="F1492" t="str">
        <f>"Newman"</f>
        <v>Newman</v>
      </c>
      <c r="G1492" t="str">
        <f>"avanddanesh"</f>
        <v>avanddanesh</v>
      </c>
    </row>
    <row r="1493" spans="1:7" x14ac:dyDescent="0.25">
      <c r="A1493" t="str">
        <f>"Pharmaceutical Analysis for Small Molecules"</f>
        <v>Pharmaceutical Analysis for Small Molecules</v>
      </c>
      <c r="B1493" t="str">
        <f>"9781119121114"</f>
        <v>9781119121114</v>
      </c>
      <c r="C1493">
        <v>112.5</v>
      </c>
      <c r="D1493" t="str">
        <f t="shared" si="96"/>
        <v>USD</v>
      </c>
      <c r="E1493" t="str">
        <f>"2017"</f>
        <v>2017</v>
      </c>
      <c r="F1493" t="str">
        <f>"Davani"</f>
        <v>Davani</v>
      </c>
      <c r="G1493" t="str">
        <f>"avanddanesh"</f>
        <v>avanddanesh</v>
      </c>
    </row>
    <row r="1494" spans="1:7" x14ac:dyDescent="0.25">
      <c r="A1494" t="str">
        <f>"Pharmaceutical Industry Practices on Genotoxic Impurities (Chromatographic Science Series)"</f>
        <v>Pharmaceutical Industry Practices on Genotoxic Impurities (Chromatographic Science Series)</v>
      </c>
      <c r="B1494" t="str">
        <f>"9781439874202"</f>
        <v>9781439874202</v>
      </c>
      <c r="C1494">
        <v>90.1</v>
      </c>
      <c r="D1494" t="str">
        <f>"GBP"</f>
        <v>GBP</v>
      </c>
      <c r="E1494" t="str">
        <f>"2015"</f>
        <v>2015</v>
      </c>
      <c r="F1494" t="str">
        <f>"Heewon Lee(Editor)"</f>
        <v>Heewon Lee(Editor)</v>
      </c>
      <c r="G1494" t="str">
        <f>"AsarBartar"</f>
        <v>AsarBartar</v>
      </c>
    </row>
    <row r="1495" spans="1:7" x14ac:dyDescent="0.25">
      <c r="A1495" t="str">
        <f>"Phase Modeling Tools: Applications to Gases"</f>
        <v>Phase Modeling Tools: Applications to Gases</v>
      </c>
      <c r="B1495" t="str">
        <f>"9781848218642"</f>
        <v>9781848218642</v>
      </c>
      <c r="C1495">
        <v>104</v>
      </c>
      <c r="D1495" t="str">
        <f>"USD"</f>
        <v>USD</v>
      </c>
      <c r="E1495" t="str">
        <f>"2015"</f>
        <v>2015</v>
      </c>
      <c r="F1495" t="str">
        <f>"Soustelle"</f>
        <v>Soustelle</v>
      </c>
      <c r="G1495" t="str">
        <f>"avanddanesh"</f>
        <v>avanddanesh</v>
      </c>
    </row>
    <row r="1496" spans="1:7" x14ac:dyDescent="0.25">
      <c r="A1496" t="str">
        <f>"Phase Transformations"</f>
        <v>Phase Transformations</v>
      </c>
      <c r="B1496" t="str">
        <f>"9781848218680"</f>
        <v>9781848218680</v>
      </c>
      <c r="C1496">
        <v>80.8</v>
      </c>
      <c r="D1496" t="str">
        <f>"USD"</f>
        <v>USD</v>
      </c>
      <c r="E1496" t="str">
        <f>"2016"</f>
        <v>2016</v>
      </c>
      <c r="F1496" t="str">
        <f>"Soustelle"</f>
        <v>Soustelle</v>
      </c>
      <c r="G1496" t="str">
        <f>"avanddanesh"</f>
        <v>avanddanesh</v>
      </c>
    </row>
    <row r="1497" spans="1:7" x14ac:dyDescent="0.25">
      <c r="A1497" t="str">
        <f>"Phosgenations: A Handbook"</f>
        <v>Phosgenations: A Handbook</v>
      </c>
      <c r="B1497" t="str">
        <f>"9783527298235"</f>
        <v>9783527298235</v>
      </c>
      <c r="C1497">
        <v>191.2</v>
      </c>
      <c r="D1497" t="str">
        <f>"USD"</f>
        <v>USD</v>
      </c>
      <c r="E1497" t="str">
        <f>"2004"</f>
        <v>2004</v>
      </c>
      <c r="F1497" t="str">
        <f>"Cotarca"</f>
        <v>Cotarca</v>
      </c>
      <c r="G1497" t="str">
        <f>"avanddanesh"</f>
        <v>avanddanesh</v>
      </c>
    </row>
    <row r="1498" spans="1:7" x14ac:dyDescent="0.25">
      <c r="A1498" t="str">
        <f>"Phosphate Labeling and Sensing in Chemical Biology"</f>
        <v>Phosphate Labeling and Sensing in Chemical Biology</v>
      </c>
      <c r="B1498" t="str">
        <f>"9783319603568"</f>
        <v>9783319603568</v>
      </c>
      <c r="C1498">
        <v>224.99</v>
      </c>
      <c r="D1498" t="str">
        <f>"EUR"</f>
        <v>EUR</v>
      </c>
      <c r="E1498" t="str">
        <f>"2017"</f>
        <v>2017</v>
      </c>
      <c r="F1498" t="str">
        <f>"Jessen"</f>
        <v>Jessen</v>
      </c>
      <c r="G1498" t="str">
        <f>"negarestanabi"</f>
        <v>negarestanabi</v>
      </c>
    </row>
    <row r="1499" spans="1:7" x14ac:dyDescent="0.25">
      <c r="A1499" t="str">
        <f>"Phosphodiesterases and Their Inhibitors"</f>
        <v>Phosphodiesterases and Their Inhibitors</v>
      </c>
      <c r="B1499" t="str">
        <f>"9783527332199"</f>
        <v>9783527332199</v>
      </c>
      <c r="C1499">
        <v>157.5</v>
      </c>
      <c r="D1499" t="str">
        <f>"USD"</f>
        <v>USD</v>
      </c>
      <c r="E1499" t="str">
        <f>"2014"</f>
        <v>2014</v>
      </c>
      <c r="F1499" t="str">
        <f>"Liras"</f>
        <v>Liras</v>
      </c>
      <c r="G1499" t="str">
        <f>"avanddanesh"</f>
        <v>avanddanesh</v>
      </c>
    </row>
    <row r="1500" spans="1:7" x14ac:dyDescent="0.25">
      <c r="A1500" t="str">
        <f>"Phosphoric Acid"</f>
        <v>Phosphoric Acid</v>
      </c>
      <c r="B1500" t="str">
        <f>"9781439895108"</f>
        <v>9781439895108</v>
      </c>
      <c r="C1500">
        <v>146.4</v>
      </c>
      <c r="D1500" t="str">
        <f>"GBP"</f>
        <v>GBP</v>
      </c>
      <c r="E1500" t="str">
        <f>"2014"</f>
        <v>2014</v>
      </c>
      <c r="F1500" t="str">
        <f>"Gilmour, Rodney"</f>
        <v>Gilmour, Rodney</v>
      </c>
      <c r="G1500" t="str">
        <f>"AsarBartar"</f>
        <v>AsarBartar</v>
      </c>
    </row>
    <row r="1501" spans="1:7" x14ac:dyDescent="0.25">
      <c r="A1501" t="str">
        <f>"Phosphors. Up Conversion Nano Particles. Quantum Dots and Their Applications: Volume 1"</f>
        <v>Phosphors. Up Conversion Nano Particles. Quantum Dots and Their Applications: Volume 1</v>
      </c>
      <c r="B1501" t="str">
        <f>"9783662527696"</f>
        <v>9783662527696</v>
      </c>
      <c r="C1501">
        <v>134.99</v>
      </c>
      <c r="D1501" t="str">
        <f>"EUR"</f>
        <v>EUR</v>
      </c>
      <c r="E1501" t="str">
        <f>"2017"</f>
        <v>2017</v>
      </c>
      <c r="F1501" t="str">
        <f>"Liu"</f>
        <v>Liu</v>
      </c>
      <c r="G1501" t="str">
        <f>"negarestanabi"</f>
        <v>negarestanabi</v>
      </c>
    </row>
    <row r="1502" spans="1:7" x14ac:dyDescent="0.25">
      <c r="A1502" t="str">
        <f>"Phosphors. Up Conversion Nano Particles. Quantum Dots and Their Applications: Volume 2"</f>
        <v>Phosphors. Up Conversion Nano Particles. Quantum Dots and Their Applications: Volume 2</v>
      </c>
      <c r="B1502" t="str">
        <f>"9789811015892"</f>
        <v>9789811015892</v>
      </c>
      <c r="C1502">
        <v>134.99</v>
      </c>
      <c r="D1502" t="str">
        <f>"EUR"</f>
        <v>EUR</v>
      </c>
      <c r="E1502" t="str">
        <f>"2016"</f>
        <v>2016</v>
      </c>
      <c r="F1502" t="str">
        <f>"Liu"</f>
        <v>Liu</v>
      </c>
      <c r="G1502" t="str">
        <f>"negarestanabi"</f>
        <v>negarestanabi</v>
      </c>
    </row>
    <row r="1503" spans="1:7" x14ac:dyDescent="0.25">
      <c r="A1503" t="str">
        <f>"Photoactive Semiconductor Nanocrystal Quantum Dots: Fundamentals and Applications"</f>
        <v>Photoactive Semiconductor Nanocrystal Quantum Dots: Fundamentals and Applications</v>
      </c>
      <c r="B1503" t="str">
        <f>"9783319511917"</f>
        <v>9783319511917</v>
      </c>
      <c r="C1503">
        <v>197.99</v>
      </c>
      <c r="D1503" t="str">
        <f>"EUR"</f>
        <v>EUR</v>
      </c>
      <c r="E1503" t="str">
        <f>"2017"</f>
        <v>2017</v>
      </c>
      <c r="F1503" t="str">
        <f>"Credi"</f>
        <v>Credi</v>
      </c>
      <c r="G1503" t="str">
        <f>"negarestanabi"</f>
        <v>negarestanabi</v>
      </c>
    </row>
    <row r="1504" spans="1:7" x14ac:dyDescent="0.25">
      <c r="A1504" t="str">
        <f>"Photochemistry of Organic Compounds:From Concepts to Practice"</f>
        <v>Photochemistry of Organic Compounds:From Concepts to Practice</v>
      </c>
      <c r="B1504" t="str">
        <f>"9781405161732"</f>
        <v>9781405161732</v>
      </c>
      <c r="C1504">
        <v>52.49</v>
      </c>
      <c r="D1504" t="str">
        <f>"USD"</f>
        <v>USD</v>
      </c>
      <c r="E1504" t="str">
        <f>"2009"</f>
        <v>2009</v>
      </c>
      <c r="F1504" t="str">
        <f>"Kl?n"</f>
        <v>Kl?n</v>
      </c>
      <c r="G1504" t="str">
        <f>"safirketab"</f>
        <v>safirketab</v>
      </c>
    </row>
    <row r="1505" spans="1:7" x14ac:dyDescent="0.25">
      <c r="A1505" t="str">
        <f>"Photochromic Materials: Preparation, Properties and Applications"</f>
        <v>Photochromic Materials: Preparation, Properties and Applications</v>
      </c>
      <c r="B1505" t="str">
        <f>"9783527337798"</f>
        <v>9783527337798</v>
      </c>
      <c r="C1505">
        <v>148.80000000000001</v>
      </c>
      <c r="D1505" t="str">
        <f>"USD"</f>
        <v>USD</v>
      </c>
      <c r="E1505" t="str">
        <f>"2016"</f>
        <v>2016</v>
      </c>
      <c r="F1505" t="str">
        <f>"Tian"</f>
        <v>Tian</v>
      </c>
      <c r="G1505" t="str">
        <f>"avanddanesh"</f>
        <v>avanddanesh</v>
      </c>
    </row>
    <row r="1506" spans="1:7" x14ac:dyDescent="0.25">
      <c r="A1506" t="str">
        <f>"Photofunctional Layered Materials"</f>
        <v>Photofunctional Layered Materials</v>
      </c>
      <c r="B1506" t="str">
        <f>"9783319169903"</f>
        <v>9783319169903</v>
      </c>
      <c r="C1506">
        <v>224.99</v>
      </c>
      <c r="D1506" t="str">
        <f>"EUR"</f>
        <v>EUR</v>
      </c>
      <c r="E1506" t="str">
        <f>"2015"</f>
        <v>2015</v>
      </c>
      <c r="F1506" t="str">
        <f>"Yan"</f>
        <v>Yan</v>
      </c>
      <c r="G1506" t="str">
        <f>"negarestanabi"</f>
        <v>negarestanabi</v>
      </c>
    </row>
    <row r="1507" spans="1:7" x14ac:dyDescent="0.25">
      <c r="A1507" t="str">
        <f>"Photomechanical Materials, Composites, and Systems: Wireless Transduction of Light into Work"</f>
        <v>Photomechanical Materials, Composites, and Systems: Wireless Transduction of Light into Work</v>
      </c>
      <c r="B1507" t="str">
        <f>"9781119123309"</f>
        <v>9781119123309</v>
      </c>
      <c r="C1507">
        <v>175.5</v>
      </c>
      <c r="D1507" t="str">
        <f t="shared" ref="D1507:D1514" si="97">"USD"</f>
        <v>USD</v>
      </c>
      <c r="E1507" t="str">
        <f>"2017"</f>
        <v>2017</v>
      </c>
      <c r="F1507" t="str">
        <f>"White"</f>
        <v>White</v>
      </c>
      <c r="G1507" t="str">
        <f>"avanddanesh"</f>
        <v>avanddanesh</v>
      </c>
    </row>
    <row r="1508" spans="1:7" x14ac:dyDescent="0.25">
      <c r="A1508" t="str">
        <f>"Photoproteins in Bioanalysis"</f>
        <v>Photoproteins in Bioanalysis</v>
      </c>
      <c r="B1508" t="str">
        <f>"9783527310166"</f>
        <v>9783527310166</v>
      </c>
      <c r="C1508">
        <v>104.4</v>
      </c>
      <c r="D1508" t="str">
        <f t="shared" si="97"/>
        <v>USD</v>
      </c>
      <c r="E1508" t="str">
        <f>"2006"</f>
        <v>2006</v>
      </c>
      <c r="F1508" t="str">
        <f>"Daunert"</f>
        <v>Daunert</v>
      </c>
      <c r="G1508" t="str">
        <f>"avanddanesh"</f>
        <v>avanddanesh</v>
      </c>
    </row>
    <row r="1509" spans="1:7" x14ac:dyDescent="0.25">
      <c r="A1509" t="str">
        <f>"Photoproteins in Bioanalysis"</f>
        <v>Photoproteins in Bioanalysis</v>
      </c>
      <c r="B1509" t="str">
        <f>"9783527310166"</f>
        <v>9783527310166</v>
      </c>
      <c r="C1509">
        <v>104.4</v>
      </c>
      <c r="D1509" t="str">
        <f t="shared" si="97"/>
        <v>USD</v>
      </c>
      <c r="E1509" t="str">
        <f>"2006"</f>
        <v>2006</v>
      </c>
      <c r="F1509" t="str">
        <f>"Daunert-Chemistry"</f>
        <v>Daunert-Chemistry</v>
      </c>
      <c r="G1509" t="str">
        <f>"safirketab"</f>
        <v>safirketab</v>
      </c>
    </row>
    <row r="1510" spans="1:7" x14ac:dyDescent="0.25">
      <c r="A1510" t="str">
        <f>"Photosensitisers in Biomedicine"</f>
        <v>Photosensitisers in Biomedicine</v>
      </c>
      <c r="B1510" t="str">
        <f>"9780470510605"</f>
        <v>9780470510605</v>
      </c>
      <c r="C1510">
        <v>50</v>
      </c>
      <c r="D1510" t="str">
        <f t="shared" si="97"/>
        <v>USD</v>
      </c>
      <c r="E1510" t="str">
        <f>"2009"</f>
        <v>2009</v>
      </c>
      <c r="F1510" t="str">
        <f>"Wainwright"</f>
        <v>Wainwright</v>
      </c>
      <c r="G1510" t="str">
        <f>"avanddanesh"</f>
        <v>avanddanesh</v>
      </c>
    </row>
    <row r="1511" spans="1:7" x14ac:dyDescent="0.25">
      <c r="A1511" t="str">
        <f>"Photosynthetic Membrane: Molecular Mechanisms and Biophysics of Light Harvesting"</f>
        <v>Photosynthetic Membrane: Molecular Mechanisms and Biophysics of Light Harvesting</v>
      </c>
      <c r="B1511" t="str">
        <f>"9781119960539"</f>
        <v>9781119960539</v>
      </c>
      <c r="C1511">
        <v>33</v>
      </c>
      <c r="D1511" t="str">
        <f t="shared" si="97"/>
        <v>USD</v>
      </c>
      <c r="E1511" t="str">
        <f>"2012"</f>
        <v>2012</v>
      </c>
      <c r="F1511" t="str">
        <f>"Ruban"</f>
        <v>Ruban</v>
      </c>
      <c r="G1511" t="str">
        <f>"avanddanesh"</f>
        <v>avanddanesh</v>
      </c>
    </row>
    <row r="1512" spans="1:7" x14ac:dyDescent="0.25">
      <c r="A1512" t="str">
        <f>"Physical and Biological Hazards of the Workplace,3e"</f>
        <v>Physical and Biological Hazards of the Workplace,3e</v>
      </c>
      <c r="B1512" t="str">
        <f>"9781118928608"</f>
        <v>9781118928608</v>
      </c>
      <c r="C1512">
        <v>135</v>
      </c>
      <c r="D1512" t="str">
        <f t="shared" si="97"/>
        <v>USD</v>
      </c>
      <c r="E1512" t="str">
        <f>"2017"</f>
        <v>2017</v>
      </c>
      <c r="F1512" t="str">
        <f>"Stave"</f>
        <v>Stave</v>
      </c>
      <c r="G1512" t="str">
        <f>"avanddanesh"</f>
        <v>avanddanesh</v>
      </c>
    </row>
    <row r="1513" spans="1:7" x14ac:dyDescent="0.25">
      <c r="A1513" t="str">
        <f>"Physical Chemistry"</f>
        <v>Physical Chemistry</v>
      </c>
      <c r="B1513" t="str">
        <f>"9780815340850"</f>
        <v>9780815340850</v>
      </c>
      <c r="C1513">
        <v>24.48</v>
      </c>
      <c r="D1513" t="str">
        <f t="shared" si="97"/>
        <v>USD</v>
      </c>
      <c r="E1513" t="str">
        <f>"2006"</f>
        <v>2006</v>
      </c>
      <c r="F1513" t="str">
        <f>"Horia Metiu"</f>
        <v>Horia Metiu</v>
      </c>
      <c r="G1513" t="str">
        <f>"safirketab"</f>
        <v>safirketab</v>
      </c>
    </row>
    <row r="1514" spans="1:7" x14ac:dyDescent="0.25">
      <c r="A1514" t="str">
        <f>"Physical Chemistry for the Biological Sciences,2e"</f>
        <v>Physical Chemistry for the Biological Sciences,2e</v>
      </c>
      <c r="B1514" t="str">
        <f>"9781118859001"</f>
        <v>9781118859001</v>
      </c>
      <c r="C1514">
        <v>136</v>
      </c>
      <c r="D1514" t="str">
        <f t="shared" si="97"/>
        <v>USD</v>
      </c>
      <c r="E1514" t="str">
        <f>"2015"</f>
        <v>2015</v>
      </c>
      <c r="F1514" t="str">
        <f>"Hammes"</f>
        <v>Hammes</v>
      </c>
      <c r="G1514" t="str">
        <f>"avanddanesh"</f>
        <v>avanddanesh</v>
      </c>
    </row>
    <row r="1515" spans="1:7" x14ac:dyDescent="0.25">
      <c r="A1515" t="str">
        <f>"Physical Chemistry for the Chemical Sciences"</f>
        <v>Physical Chemistry for the Chemical Sciences</v>
      </c>
      <c r="B1515" t="str">
        <f>"9781782620877"</f>
        <v>9781782620877</v>
      </c>
      <c r="C1515">
        <v>27.5</v>
      </c>
      <c r="D1515" t="str">
        <f>"GBP"</f>
        <v>GBP</v>
      </c>
      <c r="E1515" t="str">
        <f>"2014"</f>
        <v>2014</v>
      </c>
      <c r="F1515" t="str">
        <f>"RAYMOND CHANGÂ JOHN W"</f>
        <v>RAYMOND CHANGÂ JOHN W</v>
      </c>
      <c r="G1515" t="str">
        <f>"arzinbooks"</f>
        <v>arzinbooks</v>
      </c>
    </row>
    <row r="1516" spans="1:7" x14ac:dyDescent="0.25">
      <c r="A1516" t="str">
        <f>"Physical Chemistry of Gas-Liquid Interfaces"</f>
        <v>Physical Chemistry of Gas-Liquid Interfaces</v>
      </c>
      <c r="B1516" t="str">
        <f>"9780128136089"</f>
        <v>9780128136089</v>
      </c>
      <c r="C1516">
        <v>180</v>
      </c>
      <c r="D1516" t="str">
        <f t="shared" ref="D1516:D1521" si="98">"USD"</f>
        <v>USD</v>
      </c>
      <c r="E1516" t="str">
        <f>"2018"</f>
        <v>2018</v>
      </c>
      <c r="F1516" t="str">
        <f>"Faust and House"</f>
        <v>Faust and House</v>
      </c>
      <c r="G1516" t="str">
        <f>"dehkadehketab"</f>
        <v>dehkadehketab</v>
      </c>
    </row>
    <row r="1517" spans="1:7" x14ac:dyDescent="0.25">
      <c r="A1517" t="str">
        <f>"Physical Chemistry of Semiconductor Materials and Processes"</f>
        <v>Physical Chemistry of Semiconductor Materials and Processes</v>
      </c>
      <c r="B1517" t="str">
        <f>"9781118514573"</f>
        <v>9781118514573</v>
      </c>
      <c r="C1517">
        <v>60</v>
      </c>
      <c r="D1517" t="str">
        <f t="shared" si="98"/>
        <v>USD</v>
      </c>
      <c r="E1517" t="str">
        <f>"2015"</f>
        <v>2015</v>
      </c>
      <c r="F1517" t="str">
        <f>"Pizzini"</f>
        <v>Pizzini</v>
      </c>
      <c r="G1517" t="str">
        <f>"avanddanesh"</f>
        <v>avanddanesh</v>
      </c>
    </row>
    <row r="1518" spans="1:7" x14ac:dyDescent="0.25">
      <c r="A1518" t="str">
        <f>"Physical Chemistry, Multidisciplinary Applications in Society"</f>
        <v>Physical Chemistry, Multidisciplinary Applications in Society</v>
      </c>
      <c r="B1518" t="str">
        <f>"9780128004548"</f>
        <v>9780128004548</v>
      </c>
      <c r="C1518">
        <v>180</v>
      </c>
      <c r="D1518" t="str">
        <f t="shared" si="98"/>
        <v>USD</v>
      </c>
      <c r="E1518" t="str">
        <f>"2017"</f>
        <v>2017</v>
      </c>
      <c r="F1518" t="str">
        <f>"Schmitz"</f>
        <v>Schmitz</v>
      </c>
      <c r="G1518" t="str">
        <f>"dehkadehketab"</f>
        <v>dehkadehketab</v>
      </c>
    </row>
    <row r="1519" spans="1:7" x14ac:dyDescent="0.25">
      <c r="A1519" t="str">
        <f>"Physical Chemistry: How Chemistry Works"</f>
        <v>Physical Chemistry: How Chemistry Works</v>
      </c>
      <c r="B1519" t="str">
        <f>"9781118751121"</f>
        <v>9781118751121</v>
      </c>
      <c r="C1519">
        <v>63.8</v>
      </c>
      <c r="D1519" t="str">
        <f t="shared" si="98"/>
        <v>USD</v>
      </c>
      <c r="E1519" t="str">
        <f>"2016"</f>
        <v>2016</v>
      </c>
      <c r="F1519" t="str">
        <f>"Kolasinski"</f>
        <v>Kolasinski</v>
      </c>
      <c r="G1519" t="str">
        <f>"avanddanesh"</f>
        <v>avanddanesh</v>
      </c>
    </row>
    <row r="1520" spans="1:7" x14ac:dyDescent="0.25">
      <c r="A1520" t="str">
        <f>"Physicochemical and Biomimetic Properties in Drug Discovery: Chromatographic Techniques for Lead Optimization"</f>
        <v>Physicochemical and Biomimetic Properties in Drug Discovery: Chromatographic Techniques for Lead Optimization</v>
      </c>
      <c r="B1520" t="str">
        <f>"9781118152126"</f>
        <v>9781118152126</v>
      </c>
      <c r="C1520">
        <v>99.8</v>
      </c>
      <c r="D1520" t="str">
        <f t="shared" si="98"/>
        <v>USD</v>
      </c>
      <c r="E1520" t="str">
        <f>"2014"</f>
        <v>2014</v>
      </c>
      <c r="F1520" t="str">
        <f>"Valko"</f>
        <v>Valko</v>
      </c>
      <c r="G1520" t="str">
        <f>"avanddanesh"</f>
        <v>avanddanesh</v>
      </c>
    </row>
    <row r="1521" spans="1:7" x14ac:dyDescent="0.25">
      <c r="A1521" t="str">
        <f>"Physico-chemical Aspects of Textile Coloration"</f>
        <v>Physico-chemical Aspects of Textile Coloration</v>
      </c>
      <c r="B1521" t="str">
        <f>"9781118725696"</f>
        <v>9781118725696</v>
      </c>
      <c r="C1521">
        <v>136</v>
      </c>
      <c r="D1521" t="str">
        <f t="shared" si="98"/>
        <v>USD</v>
      </c>
      <c r="E1521" t="str">
        <f>"2016"</f>
        <v>2016</v>
      </c>
      <c r="F1521" t="str">
        <f>"Burkinshaw"</f>
        <v>Burkinshaw</v>
      </c>
      <c r="G1521" t="str">
        <f>"avanddanesh"</f>
        <v>avanddanesh</v>
      </c>
    </row>
    <row r="1522" spans="1:7" x14ac:dyDescent="0.25">
      <c r="A1522" t="str">
        <f>"PHYSICS AND APPLICATIONS OF NEGATIVE REFRACTIVE INDEX M"</f>
        <v>PHYSICS AND APPLICATIONS OF NEGATIVE REFRACTIVE INDEX M</v>
      </c>
      <c r="B1522" t="str">
        <f>"9781420068757"</f>
        <v>9781420068757</v>
      </c>
      <c r="C1522">
        <v>19.190000000000001</v>
      </c>
      <c r="D1522" t="str">
        <f>"GBP"</f>
        <v>GBP</v>
      </c>
      <c r="E1522" t="str">
        <f>"2009"</f>
        <v>2009</v>
      </c>
      <c r="F1522" t="str">
        <f>"S. ANANTHA RAMAKRIS"</f>
        <v>S. ANANTHA RAMAKRIS</v>
      </c>
      <c r="G1522" t="str">
        <f>"AsarBartar"</f>
        <v>AsarBartar</v>
      </c>
    </row>
    <row r="1523" spans="1:7" x14ac:dyDescent="0.25">
      <c r="A1523" t="str">
        <f>"Physics of Laser Crystals"</f>
        <v>Physics of Laser Crystals</v>
      </c>
      <c r="B1523" t="str">
        <f>"9781402016769"</f>
        <v>9781402016769</v>
      </c>
      <c r="C1523">
        <v>43.99</v>
      </c>
      <c r="D1523" t="str">
        <f>"USD"</f>
        <v>USD</v>
      </c>
      <c r="E1523" t="str">
        <f>"2003"</f>
        <v>2003</v>
      </c>
      <c r="F1523" t="str">
        <f>"Krupa,Jean-Claude(Ed"</f>
        <v>Krupa,Jean-Claude(Ed</v>
      </c>
      <c r="G1523" t="str">
        <f>"safirketab"</f>
        <v>safirketab</v>
      </c>
    </row>
    <row r="1524" spans="1:7" x14ac:dyDescent="0.25">
      <c r="A1524" t="str">
        <f>"Physiological Chemistry, Hb"</f>
        <v>Physiological Chemistry, Hb</v>
      </c>
      <c r="B1524" t="str">
        <f>"9789381052129"</f>
        <v>9789381052129</v>
      </c>
      <c r="C1524">
        <v>18.829999999999998</v>
      </c>
      <c r="D1524" t="str">
        <f>"USD"</f>
        <v>USD</v>
      </c>
      <c r="E1524" t="str">
        <f>"2012"</f>
        <v>2012</v>
      </c>
      <c r="F1524" t="str">
        <f>"Choudhuri"</f>
        <v>Choudhuri</v>
      </c>
      <c r="G1524" t="str">
        <f>"supply"</f>
        <v>supply</v>
      </c>
    </row>
    <row r="1525" spans="1:7" x14ac:dyDescent="0.25">
      <c r="A1525" t="str">
        <f>"Phytocannabinoids: Unraveling the Complex Chemistry and Pharmacology of Cannabis sativa"</f>
        <v>Phytocannabinoids: Unraveling the Complex Chemistry and Pharmacology of Cannabis sativa</v>
      </c>
      <c r="B1525" t="str">
        <f>"9783319455396"</f>
        <v>9783319455396</v>
      </c>
      <c r="C1525">
        <v>179.99</v>
      </c>
      <c r="D1525" t="str">
        <f>"EUR"</f>
        <v>EUR</v>
      </c>
      <c r="E1525" t="str">
        <f>"2017"</f>
        <v>2017</v>
      </c>
      <c r="F1525" t="str">
        <f>"Kinghorn"</f>
        <v>Kinghorn</v>
      </c>
      <c r="G1525" t="str">
        <f>"negarestanabi"</f>
        <v>negarestanabi</v>
      </c>
    </row>
    <row r="1526" spans="1:7" x14ac:dyDescent="0.25">
      <c r="A1526" t="str">
        <f>"Phytochemicals As Nutraceuticals : Global Approaches To Their Role In Nutrition And Health, HB,          'NEW'"</f>
        <v>Phytochemicals As Nutraceuticals : Global Approaches To Their Role In Nutrition And Health, HB,          'NEW'</v>
      </c>
      <c r="B1526" t="str">
        <f>"9789535102038"</f>
        <v>9789535102038</v>
      </c>
      <c r="C1526">
        <v>63</v>
      </c>
      <c r="D1526" t="str">
        <f>"USD"</f>
        <v>USD</v>
      </c>
      <c r="E1526" t="str">
        <f>"2014"</f>
        <v>2014</v>
      </c>
      <c r="F1526" t="str">
        <f>"Rao V."</f>
        <v>Rao V.</v>
      </c>
      <c r="G1526" t="str">
        <f>"supply"</f>
        <v>supply</v>
      </c>
    </row>
    <row r="1527" spans="1:7" x14ac:dyDescent="0.25">
      <c r="A1527" t="str">
        <f>"Phytotherapies: Efficacy, Safety, and Regulation"</f>
        <v>Phytotherapies: Efficacy, Safety, and Regulation</v>
      </c>
      <c r="B1527" t="str">
        <f>"9781118268063"</f>
        <v>9781118268063</v>
      </c>
      <c r="C1527">
        <v>156</v>
      </c>
      <c r="D1527" t="str">
        <f>"USD"</f>
        <v>USD</v>
      </c>
      <c r="E1527" t="str">
        <f>"2015"</f>
        <v>2015</v>
      </c>
      <c r="F1527" t="str">
        <f>"Ramzan"</f>
        <v>Ramzan</v>
      </c>
      <c r="G1527" t="str">
        <f>"avanddanesh"</f>
        <v>avanddanesh</v>
      </c>
    </row>
    <row r="1528" spans="1:7" x14ac:dyDescent="0.25">
      <c r="A1528" t="str">
        <f>"Pincer and Pincer-Type Complexes Applications in Organic Synthesis and Catalysis"</f>
        <v>Pincer and Pincer-Type Complexes Applications in Organic Synthesis and Catalysis</v>
      </c>
      <c r="B1528" t="str">
        <f>"9783527334421"</f>
        <v>9783527334421</v>
      </c>
      <c r="C1528">
        <v>147</v>
      </c>
      <c r="D1528" t="str">
        <f>"USD"</f>
        <v>USD</v>
      </c>
      <c r="E1528" t="str">
        <f>"2014"</f>
        <v>2014</v>
      </c>
      <c r="F1528" t="str">
        <f>"Szab"</f>
        <v>Szab</v>
      </c>
      <c r="G1528" t="str">
        <f>"avanddanesh"</f>
        <v>avanddanesh</v>
      </c>
    </row>
    <row r="1529" spans="1:7" x14ac:dyDescent="0.25">
      <c r="A1529" t="str">
        <f>"Pincer Compounds, Chemistry and Applications"</f>
        <v>Pincer Compounds, Chemistry and Applications</v>
      </c>
      <c r="B1529" t="str">
        <f>"9780128129227"</f>
        <v>9780128129227</v>
      </c>
      <c r="C1529">
        <v>202.5</v>
      </c>
      <c r="D1529" t="str">
        <f>"USD"</f>
        <v>USD</v>
      </c>
      <c r="E1529" t="str">
        <f>"2018"</f>
        <v>2018</v>
      </c>
      <c r="F1529" t="str">
        <f>"Morales-Morales"</f>
        <v>Morales-Morales</v>
      </c>
      <c r="G1529" t="str">
        <f>"dehkadehketab"</f>
        <v>dehkadehketab</v>
      </c>
    </row>
    <row r="1530" spans="1:7" x14ac:dyDescent="0.25">
      <c r="A1530" t="str">
        <f>"Planar Chromatography - Mass Spectrometry"</f>
        <v>Planar Chromatography - Mass Spectrometry</v>
      </c>
      <c r="B1530" t="str">
        <f>"9781498705882"</f>
        <v>9781498705882</v>
      </c>
      <c r="C1530">
        <v>86.7</v>
      </c>
      <c r="D1530" t="str">
        <f>"GBP"</f>
        <v>GBP</v>
      </c>
      <c r="E1530" t="str">
        <f>"2016"</f>
        <v>2016</v>
      </c>
      <c r="F1530" t="str">
        <f>"Teresa Kowalska(Edi"</f>
        <v>Teresa Kowalska(Edi</v>
      </c>
      <c r="G1530" t="str">
        <f>"AsarBartar"</f>
        <v>AsarBartar</v>
      </c>
    </row>
    <row r="1531" spans="1:7" x14ac:dyDescent="0.25">
      <c r="A1531" t="str">
        <f>"Planning a Scientific Career in Industry: Strategies for Graduates and Academics"</f>
        <v>Planning a Scientific Career in Industry: Strategies for Graduates and Academics</v>
      </c>
      <c r="B1531" t="str">
        <f>"9780470460047"</f>
        <v>9780470460047</v>
      </c>
      <c r="C1531">
        <v>20</v>
      </c>
      <c r="D1531" t="str">
        <f t="shared" ref="D1531:D1540" si="99">"USD"</f>
        <v>USD</v>
      </c>
      <c r="E1531" t="str">
        <f>"2010"</f>
        <v>2010</v>
      </c>
      <c r="F1531" t="str">
        <f>"Mohanty"</f>
        <v>Mohanty</v>
      </c>
      <c r="G1531" t="str">
        <f>"avanddanesh"</f>
        <v>avanddanesh</v>
      </c>
    </row>
    <row r="1532" spans="1:7" x14ac:dyDescent="0.25">
      <c r="A1532" t="str">
        <f>"Plant Chemical Biology"</f>
        <v>Plant Chemical Biology</v>
      </c>
      <c r="B1532" t="str">
        <f>"9780470946695"</f>
        <v>9780470946695</v>
      </c>
      <c r="C1532">
        <v>99.8</v>
      </c>
      <c r="D1532" t="str">
        <f t="shared" si="99"/>
        <v>USD</v>
      </c>
      <c r="E1532" t="str">
        <f>"2014"</f>
        <v>2014</v>
      </c>
      <c r="F1532" t="str">
        <f>"Audenaert"</f>
        <v>Audenaert</v>
      </c>
      <c r="G1532" t="str">
        <f>"avanddanesh"</f>
        <v>avanddanesh</v>
      </c>
    </row>
    <row r="1533" spans="1:7" x14ac:dyDescent="0.25">
      <c r="A1533" t="str">
        <f>"Plant Phenolics and Human Health : Biochemistry, Nutrition and Pharmacology"</f>
        <v>Plant Phenolics and Human Health : Biochemistry, Nutrition and Pharmacology</v>
      </c>
      <c r="B1533" t="str">
        <f>"9780470287217"</f>
        <v>9780470287217</v>
      </c>
      <c r="C1533">
        <v>69.2</v>
      </c>
      <c r="D1533" t="str">
        <f t="shared" si="99"/>
        <v>USD</v>
      </c>
      <c r="E1533" t="str">
        <f>"2009"</f>
        <v>2009</v>
      </c>
      <c r="F1533" t="str">
        <f>"Fraga"</f>
        <v>Fraga</v>
      </c>
      <c r="G1533" t="str">
        <f>"avanddanesh"</f>
        <v>avanddanesh</v>
      </c>
    </row>
    <row r="1534" spans="1:7" x14ac:dyDescent="0.25">
      <c r="A1534" t="str">
        <f>"Plant Phenolics and Human Health:Biochemistry, Nutrition and Pharmacology"</f>
        <v>Plant Phenolics and Human Health:Biochemistry, Nutrition and Pharmacology</v>
      </c>
      <c r="B1534" t="str">
        <f>"9780470287217"</f>
        <v>9780470287217</v>
      </c>
      <c r="C1534">
        <v>69.2</v>
      </c>
      <c r="D1534" t="str">
        <f t="shared" si="99"/>
        <v>USD</v>
      </c>
      <c r="E1534" t="str">
        <f>"2010"</f>
        <v>2010</v>
      </c>
      <c r="F1534" t="str">
        <f>"Fraga"</f>
        <v>Fraga</v>
      </c>
      <c r="G1534" t="str">
        <f>"safirketab"</f>
        <v>safirketab</v>
      </c>
    </row>
    <row r="1535" spans="1:7" x14ac:dyDescent="0.25">
      <c r="A1535" t="str">
        <f>"Plant Polysaccharides"</f>
        <v>Plant Polysaccharides</v>
      </c>
      <c r="B1535" t="str">
        <f>"9781405181723"</f>
        <v>9781405181723</v>
      </c>
      <c r="C1535">
        <v>193.45</v>
      </c>
      <c r="D1535" t="str">
        <f t="shared" si="99"/>
        <v>USD</v>
      </c>
      <c r="E1535" t="str">
        <f>"2010"</f>
        <v>2010</v>
      </c>
      <c r="F1535" t="str">
        <f>"Ulvskov"</f>
        <v>Ulvskov</v>
      </c>
      <c r="G1535" t="str">
        <f>"safirketab"</f>
        <v>safirketab</v>
      </c>
    </row>
    <row r="1536" spans="1:7" x14ac:dyDescent="0.25">
      <c r="A1536" t="str">
        <f>"Plant-Based Natural Products: Derivatives and Applications"</f>
        <v>Plant-Based Natural Products: Derivatives and Applications</v>
      </c>
      <c r="B1536" t="str">
        <f>"9781119423836"</f>
        <v>9781119423836</v>
      </c>
      <c r="C1536">
        <v>175.5</v>
      </c>
      <c r="D1536" t="str">
        <f t="shared" si="99"/>
        <v>USD</v>
      </c>
      <c r="E1536" t="str">
        <f>"2017"</f>
        <v>2017</v>
      </c>
      <c r="F1536" t="str">
        <f>"Ul-Islam"</f>
        <v>Ul-Islam</v>
      </c>
      <c r="G1536" t="str">
        <f>"avanddanesh"</f>
        <v>avanddanesh</v>
      </c>
    </row>
    <row r="1537" spans="1:7" x14ac:dyDescent="0.25">
      <c r="A1537" t="str">
        <f>"Plastic Packaging:Interactions with Food and Pharmaceuticals"</f>
        <v>Plastic Packaging:Interactions with Food and Pharmaceuticals</v>
      </c>
      <c r="B1537" t="str">
        <f>"9783527314553"</f>
        <v>9783527314553</v>
      </c>
      <c r="C1537">
        <v>210</v>
      </c>
      <c r="D1537" t="str">
        <f t="shared" si="99"/>
        <v>USD</v>
      </c>
      <c r="E1537" t="str">
        <f>"2008"</f>
        <v>2008</v>
      </c>
      <c r="F1537" t="str">
        <f>"Piringer"</f>
        <v>Piringer</v>
      </c>
      <c r="G1537" t="str">
        <f>"safirketab"</f>
        <v>safirketab</v>
      </c>
    </row>
    <row r="1538" spans="1:7" x14ac:dyDescent="0.25">
      <c r="A1538" t="str">
        <f>"Plasticizers Derived from Post-consumer PET, Research Trends and Potential Applications"</f>
        <v>Plasticizers Derived from Post-consumer PET, Research Trends and Potential Applications</v>
      </c>
      <c r="B1538" t="str">
        <f>"9780323461429"</f>
        <v>9780323461429</v>
      </c>
      <c r="C1538">
        <v>180</v>
      </c>
      <c r="D1538" t="str">
        <f t="shared" si="99"/>
        <v>USD</v>
      </c>
      <c r="E1538" t="str">
        <f>"2017"</f>
        <v>2017</v>
      </c>
      <c r="F1538" t="str">
        <f>"Langer et al"</f>
        <v>Langer et al</v>
      </c>
      <c r="G1538" t="str">
        <f>"dehkadehketab"</f>
        <v>dehkadehketab</v>
      </c>
    </row>
    <row r="1539" spans="1:7" x14ac:dyDescent="0.25">
      <c r="A1539" t="str">
        <f>"Platelet Proteomics: Principles, Analysis, and Applications"</f>
        <v>Platelet Proteomics: Principles, Analysis, and Applications</v>
      </c>
      <c r="B1539" t="str">
        <f>"9780470463376"</f>
        <v>9780470463376</v>
      </c>
      <c r="C1539">
        <v>46.4</v>
      </c>
      <c r="D1539" t="str">
        <f t="shared" si="99"/>
        <v>USD</v>
      </c>
      <c r="E1539" t="str">
        <f>"2011"</f>
        <v>2011</v>
      </c>
      <c r="F1539" t="str">
        <f>"Garc?a-Alonso"</f>
        <v>Garc?a-Alonso</v>
      </c>
      <c r="G1539" t="str">
        <f>"avanddanesh"</f>
        <v>avanddanesh</v>
      </c>
    </row>
    <row r="1540" spans="1:7" x14ac:dyDescent="0.25">
      <c r="A1540" t="str">
        <f>"Poisoning And Drug Overdose, 7th Edition"</f>
        <v>Poisoning And Drug Overdose, 7th Edition</v>
      </c>
      <c r="B1540" t="str">
        <f>"9780071839792"</f>
        <v>9780071839792</v>
      </c>
      <c r="C1540">
        <v>67.5</v>
      </c>
      <c r="D1540" t="str">
        <f t="shared" si="99"/>
        <v>USD</v>
      </c>
      <c r="E1540" t="str">
        <f>"2017"</f>
        <v>2017</v>
      </c>
      <c r="F1540" t="str">
        <f>"Kent R. Olson,  Ilen"</f>
        <v>Kent R. Olson,  Ilen</v>
      </c>
      <c r="G1540" t="str">
        <f>"arzinbooks"</f>
        <v>arzinbooks</v>
      </c>
    </row>
    <row r="1541" spans="1:7" x14ac:dyDescent="0.25">
      <c r="A1541" t="str">
        <f>"Poisons and Murder Set"</f>
        <v>Poisons and Murder Set</v>
      </c>
      <c r="B1541" t="str">
        <f>"9781788011174"</f>
        <v>9781788011174</v>
      </c>
      <c r="C1541">
        <v>45</v>
      </c>
      <c r="D1541" t="str">
        <f>"GBP"</f>
        <v>GBP</v>
      </c>
      <c r="E1541" t="str">
        <f>"2017"</f>
        <v>2017</v>
      </c>
      <c r="F1541" t="str">
        <f>"John Emsley,Anthony "</f>
        <v xml:space="preserve">John Emsley,Anthony </v>
      </c>
      <c r="G1541" t="str">
        <f>"arzinbooks"</f>
        <v>arzinbooks</v>
      </c>
    </row>
    <row r="1542" spans="1:7" x14ac:dyDescent="0.25">
      <c r="A1542" t="str">
        <f>"Polymer Morphology: Principles, Characterization, and Processing"</f>
        <v>Polymer Morphology: Principles, Characterization, and Processing</v>
      </c>
      <c r="B1542" t="str">
        <f>"9781118452158"</f>
        <v>9781118452158</v>
      </c>
      <c r="C1542">
        <v>165.8</v>
      </c>
      <c r="D1542" t="str">
        <f>"USD"</f>
        <v>USD</v>
      </c>
      <c r="E1542" t="str">
        <f>"2016"</f>
        <v>2016</v>
      </c>
      <c r="F1542" t="str">
        <f>"Guo"</f>
        <v>Guo</v>
      </c>
      <c r="G1542" t="str">
        <f>"avanddanesh"</f>
        <v>avanddanesh</v>
      </c>
    </row>
    <row r="1543" spans="1:7" x14ac:dyDescent="0.25">
      <c r="A1543" t="str">
        <f>"POLYMER TRANSLOCATION"</f>
        <v>POLYMER TRANSLOCATION</v>
      </c>
      <c r="B1543" t="str">
        <f>"9781420075168"</f>
        <v>9781420075168</v>
      </c>
      <c r="C1543">
        <v>19.190000000000001</v>
      </c>
      <c r="D1543" t="str">
        <f>"GBP"</f>
        <v>GBP</v>
      </c>
      <c r="E1543" t="str">
        <f>"2011"</f>
        <v>2011</v>
      </c>
      <c r="F1543" t="str">
        <f>"MUTHUKUMAR"</f>
        <v>MUTHUKUMAR</v>
      </c>
      <c r="G1543" t="str">
        <f>"AsarBartar"</f>
        <v>AsarBartar</v>
      </c>
    </row>
    <row r="1544" spans="1:7" x14ac:dyDescent="0.25">
      <c r="A1544" t="str">
        <f>"Polymeric SurfactantsDispersion Stability and Industrial Applications"</f>
        <v>Polymeric SurfactantsDispersion Stability and Industrial Applications</v>
      </c>
      <c r="B1544" t="str">
        <f>"9783110487220"</f>
        <v>9783110487220</v>
      </c>
      <c r="C1544">
        <v>62.95</v>
      </c>
      <c r="D1544" t="str">
        <f>"EUR"</f>
        <v>EUR</v>
      </c>
      <c r="E1544" t="str">
        <f>"2017"</f>
        <v>2017</v>
      </c>
      <c r="F1544" t="str">
        <f>"Tadros, Tharwat F."</f>
        <v>Tadros, Tharwat F.</v>
      </c>
      <c r="G1544" t="str">
        <f>"AsarBartar"</f>
        <v>AsarBartar</v>
      </c>
    </row>
    <row r="1545" spans="1:7" x14ac:dyDescent="0.25">
      <c r="A1545" t="str">
        <f>"Polymers for PEM Fuel Cells"</f>
        <v>Polymers for PEM Fuel Cells</v>
      </c>
      <c r="B1545" t="str">
        <f>"9781118329405"</f>
        <v>9781118329405</v>
      </c>
      <c r="C1545">
        <v>116.3</v>
      </c>
      <c r="D1545" t="str">
        <f>"USD"</f>
        <v>USD</v>
      </c>
      <c r="E1545" t="str">
        <f>"2014"</f>
        <v>2014</v>
      </c>
      <c r="F1545" t="str">
        <f>"Pu"</f>
        <v>Pu</v>
      </c>
      <c r="G1545" t="str">
        <f>"avanddanesh"</f>
        <v>avanddanesh</v>
      </c>
    </row>
    <row r="1546" spans="1:7" x14ac:dyDescent="0.25">
      <c r="A1546" t="str">
        <f>"Polymers for Personal Care and Cosmetics (Acs Symposium Series)"</f>
        <v>Polymers for Personal Care and Cosmetics (Acs Symposium Series)</v>
      </c>
      <c r="B1546" t="str">
        <f>"9780841229051"</f>
        <v>9780841229051</v>
      </c>
      <c r="C1546">
        <v>52.5</v>
      </c>
      <c r="D1546" t="str">
        <f>"GBP"</f>
        <v>GBP</v>
      </c>
      <c r="E1546" t="str">
        <f>"2014"</f>
        <v>2014</v>
      </c>
      <c r="F1546" t="str">
        <f>"Anjali Patil"</f>
        <v>Anjali Patil</v>
      </c>
      <c r="G1546" t="str">
        <f>"arzinbooks"</f>
        <v>arzinbooks</v>
      </c>
    </row>
    <row r="1547" spans="1:7" x14ac:dyDescent="0.25">
      <c r="A1547" t="str">
        <f>"Polymorphism: in the Pharmaceutical Industry"</f>
        <v>Polymorphism: in the Pharmaceutical Industry</v>
      </c>
      <c r="B1547" t="str">
        <f>"9783527311460"</f>
        <v>9783527311460</v>
      </c>
      <c r="C1547">
        <v>135</v>
      </c>
      <c r="D1547" t="str">
        <f>"USD"</f>
        <v>USD</v>
      </c>
      <c r="E1547" t="str">
        <f>"2006"</f>
        <v>2006</v>
      </c>
      <c r="F1547" t="str">
        <f>"Pharmaceutical &amp; Med"</f>
        <v>Pharmaceutical &amp; Med</v>
      </c>
      <c r="G1547" t="str">
        <f>"safirketab"</f>
        <v>safirketab</v>
      </c>
    </row>
    <row r="1548" spans="1:7" x14ac:dyDescent="0.25">
      <c r="A1548" t="str">
        <f>"Polyoxometalate Chemistry, Volume69"</f>
        <v>Polyoxometalate Chemistry, Volume69</v>
      </c>
      <c r="B1548" t="str">
        <f>"9780128111055"</f>
        <v>9780128111055</v>
      </c>
      <c r="C1548">
        <v>246.6</v>
      </c>
      <c r="D1548" t="str">
        <f>"USD"</f>
        <v>USD</v>
      </c>
      <c r="E1548" t="str">
        <f>"2017"</f>
        <v>2017</v>
      </c>
      <c r="F1548" t="str">
        <f>"van Eldik"</f>
        <v>van Eldik</v>
      </c>
      <c r="G1548" t="str">
        <f>"dehkadehketab"</f>
        <v>dehkadehketab</v>
      </c>
    </row>
    <row r="1549" spans="1:7" x14ac:dyDescent="0.25">
      <c r="A1549" t="str">
        <f>"Polysaccharide-Based Nanocrystals: Chemistry and Applications"</f>
        <v>Polysaccharide-Based Nanocrystals: Chemistry and Applications</v>
      </c>
      <c r="B1549" t="str">
        <f>"9783527336197"</f>
        <v>9783527336197</v>
      </c>
      <c r="C1549">
        <v>136</v>
      </c>
      <c r="D1549" t="str">
        <f>"USD"</f>
        <v>USD</v>
      </c>
      <c r="E1549" t="str">
        <f>"2015"</f>
        <v>2015</v>
      </c>
      <c r="F1549" t="str">
        <f>"Huang"</f>
        <v>Huang</v>
      </c>
      <c r="G1549" t="str">
        <f>"avanddanesh"</f>
        <v>avanddanesh</v>
      </c>
    </row>
    <row r="1550" spans="1:7" x14ac:dyDescent="0.25">
      <c r="A1550" t="str">
        <f>"Polysaccharides: Bioactivity and Biotechnology"</f>
        <v>Polysaccharides: Bioactivity and Biotechnology</v>
      </c>
      <c r="B1550" t="str">
        <f>"9783319162973"</f>
        <v>9783319162973</v>
      </c>
      <c r="C1550">
        <v>809.99</v>
      </c>
      <c r="D1550" t="str">
        <f>"EUR"</f>
        <v>EUR</v>
      </c>
      <c r="E1550" t="str">
        <f>"2015"</f>
        <v>2015</v>
      </c>
      <c r="F1550" t="str">
        <f>"Ramawat"</f>
        <v>Ramawat</v>
      </c>
      <c r="G1550" t="str">
        <f>"negarestanabi"</f>
        <v>negarestanabi</v>
      </c>
    </row>
    <row r="1551" spans="1:7" x14ac:dyDescent="0.25">
      <c r="A1551" t="str">
        <f>"Polytope Projects"</f>
        <v>Polytope Projects</v>
      </c>
      <c r="B1551" t="str">
        <f>"9781482204643"</f>
        <v>9781482204643</v>
      </c>
      <c r="C1551">
        <v>84</v>
      </c>
      <c r="D1551" t="str">
        <f>"GBP"</f>
        <v>GBP</v>
      </c>
      <c r="E1551" t="str">
        <f>"2014"</f>
        <v>2014</v>
      </c>
      <c r="F1551" t="str">
        <f>"Octavian Iordache"</f>
        <v>Octavian Iordache</v>
      </c>
      <c r="G1551" t="str">
        <f>"AsarBartar"</f>
        <v>AsarBartar</v>
      </c>
    </row>
    <row r="1552" spans="1:7" x14ac:dyDescent="0.25">
      <c r="A1552" t="str">
        <f>"Power Ultrasound in Electrochemistry: From Versatile Laboratory Tool to Engineering Solution"</f>
        <v>Power Ultrasound in Electrochemistry: From Versatile Laboratory Tool to Engineering Solution</v>
      </c>
      <c r="B1552" t="str">
        <f>"9780470974247"</f>
        <v>9780470974247</v>
      </c>
      <c r="C1552">
        <v>81</v>
      </c>
      <c r="D1552" t="str">
        <f>"USD"</f>
        <v>USD</v>
      </c>
      <c r="E1552" t="str">
        <f>"2012"</f>
        <v>2012</v>
      </c>
      <c r="F1552" t="str">
        <f>"Pollet"</f>
        <v>Pollet</v>
      </c>
      <c r="G1552" t="str">
        <f>"avanddanesh"</f>
        <v>avanddanesh</v>
      </c>
    </row>
    <row r="1553" spans="1:7" x14ac:dyDescent="0.25">
      <c r="A1553" t="str">
        <f>"Practical Analysis of Flavor and Fragrance Materials"</f>
        <v>Practical Analysis of Flavor and Fragrance Materials</v>
      </c>
      <c r="B1553" t="str">
        <f>"9781405139168"</f>
        <v>9781405139168</v>
      </c>
      <c r="C1553">
        <v>56</v>
      </c>
      <c r="D1553" t="str">
        <f>"USD"</f>
        <v>USD</v>
      </c>
      <c r="E1553" t="str">
        <f>"2011"</f>
        <v>2011</v>
      </c>
      <c r="F1553" t="str">
        <f>"Goodner"</f>
        <v>Goodner</v>
      </c>
      <c r="G1553" t="str">
        <f>"avanddanesh"</f>
        <v>avanddanesh</v>
      </c>
    </row>
    <row r="1554" spans="1:7" x14ac:dyDescent="0.25">
      <c r="A1554" t="str">
        <f>"PRACTICAL ASPECTS OF TRAPPED ION MASS SPECTROMETRY: V."</f>
        <v>PRACTICAL ASPECTS OF TRAPPED ION MASS SPECTROMETRY: V.</v>
      </c>
      <c r="B1554" t="str">
        <f>"9781420083712"</f>
        <v>9781420083712</v>
      </c>
      <c r="C1554">
        <v>34.200000000000003</v>
      </c>
      <c r="D1554" t="str">
        <f>"GBP"</f>
        <v>GBP</v>
      </c>
      <c r="E1554" t="str">
        <f>"2010"</f>
        <v>2010</v>
      </c>
      <c r="F1554" t="str">
        <f>"JOHN F.J TODD(EDITO"</f>
        <v>JOHN F.J TODD(EDITO</v>
      </c>
      <c r="G1554" t="str">
        <f>"AsarBartar"</f>
        <v>AsarBartar</v>
      </c>
    </row>
    <row r="1555" spans="1:7" x14ac:dyDescent="0.25">
      <c r="A1555" t="str">
        <f>"PRACTICAL ASPECTS OF TRAPPED ION MASS SPECTROMETRY: V. 5 (MODERN MASS SPECTROMETRY)"</f>
        <v>PRACTICAL ASPECTS OF TRAPPED ION MASS SPECTROMETRY: V. 5 (MODERN MASS SPECTROMETRY)</v>
      </c>
      <c r="B1555" t="str">
        <f>"9781420083736"</f>
        <v>9781420083736</v>
      </c>
      <c r="C1555">
        <v>35.700000000000003</v>
      </c>
      <c r="D1555" t="str">
        <f>"GBP"</f>
        <v>GBP</v>
      </c>
      <c r="E1555" t="str">
        <f>"2010"</f>
        <v>2010</v>
      </c>
      <c r="F1555" t="str">
        <f>"RAYMOND E. MARCH"</f>
        <v>RAYMOND E. MARCH</v>
      </c>
      <c r="G1555" t="str">
        <f>"AsarBartar"</f>
        <v>AsarBartar</v>
      </c>
    </row>
    <row r="1556" spans="1:7" x14ac:dyDescent="0.25">
      <c r="A1556" t="str">
        <f>"Practical Biotransformations: A Beginner's Guide"</f>
        <v>Practical Biotransformations: A Beginner's Guide</v>
      </c>
      <c r="B1556" t="str">
        <f>"9781405193672"</f>
        <v>9781405193672</v>
      </c>
      <c r="C1556">
        <v>113.4</v>
      </c>
      <c r="D1556" t="str">
        <f t="shared" ref="D1556:D1566" si="100">"USD"</f>
        <v>USD</v>
      </c>
      <c r="E1556" t="str">
        <f>"2009"</f>
        <v>2009</v>
      </c>
      <c r="F1556" t="str">
        <f>"Grogan"</f>
        <v>Grogan</v>
      </c>
      <c r="G1556" t="str">
        <f>"safirketab"</f>
        <v>safirketab</v>
      </c>
    </row>
    <row r="1557" spans="1:7" x14ac:dyDescent="0.25">
      <c r="A1557" t="str">
        <f>"Practical Cell Analysis"</f>
        <v>Practical Cell Analysis</v>
      </c>
      <c r="B1557" t="str">
        <f>"9780470741559"</f>
        <v>9780470741559</v>
      </c>
      <c r="C1557">
        <v>32</v>
      </c>
      <c r="D1557" t="str">
        <f t="shared" si="100"/>
        <v>USD</v>
      </c>
      <c r="E1557" t="str">
        <f>"2010"</f>
        <v>2010</v>
      </c>
      <c r="F1557" t="str">
        <f>"Pappas"</f>
        <v>Pappas</v>
      </c>
      <c r="G1557" t="str">
        <f>"avanddanesh"</f>
        <v>avanddanesh</v>
      </c>
    </row>
    <row r="1558" spans="1:7" x14ac:dyDescent="0.25">
      <c r="A1558" t="str">
        <f>"Practical Data Analysis in Chemistry"</f>
        <v>Practical Data Analysis in Chemistry</v>
      </c>
      <c r="B1558" t="str">
        <f>"9780444530547"</f>
        <v>9780444530547</v>
      </c>
      <c r="C1558">
        <v>138.22</v>
      </c>
      <c r="D1558" t="str">
        <f t="shared" si="100"/>
        <v>USD</v>
      </c>
      <c r="E1558" t="str">
        <f>"2007"</f>
        <v>2007</v>
      </c>
      <c r="F1558" t="str">
        <f>"Marcel"</f>
        <v>Marcel</v>
      </c>
      <c r="G1558" t="str">
        <f>"supply"</f>
        <v>supply</v>
      </c>
    </row>
    <row r="1559" spans="1:7" x14ac:dyDescent="0.25">
      <c r="A1559" t="str">
        <f>"Practical Functional Group Synthesis"</f>
        <v>Practical Functional Group Synthesis</v>
      </c>
      <c r="B1559" t="str">
        <f>"9781118612804"</f>
        <v>9781118612804</v>
      </c>
      <c r="C1559">
        <v>106.3</v>
      </c>
      <c r="D1559" t="str">
        <f t="shared" si="100"/>
        <v>USD</v>
      </c>
      <c r="E1559" t="str">
        <f>"2016"</f>
        <v>2016</v>
      </c>
      <c r="F1559" t="str">
        <f>"Stockland"</f>
        <v>Stockland</v>
      </c>
      <c r="G1559" t="str">
        <f t="shared" ref="G1559:G1566" si="101">"avanddanesh"</f>
        <v>avanddanesh</v>
      </c>
    </row>
    <row r="1560" spans="1:7" x14ac:dyDescent="0.25">
      <c r="A1560" t="str">
        <f>"Practical Laboratory Automation: Made Easy with AutoIt"</f>
        <v>Practical Laboratory Automation: Made Easy with AutoIt</v>
      </c>
      <c r="B1560" t="str">
        <f>"9783527341580"</f>
        <v>9783527341580</v>
      </c>
      <c r="C1560">
        <v>97.8</v>
      </c>
      <c r="D1560" t="str">
        <f t="shared" si="100"/>
        <v>USD</v>
      </c>
      <c r="E1560" t="str">
        <f>"2016"</f>
        <v>2016</v>
      </c>
      <c r="F1560" t="str">
        <f>"Carvalho"</f>
        <v>Carvalho</v>
      </c>
      <c r="G1560" t="str">
        <f t="shared" si="101"/>
        <v>avanddanesh</v>
      </c>
    </row>
    <row r="1561" spans="1:7" x14ac:dyDescent="0.25">
      <c r="A1561" t="str">
        <f>"Practical Methods for Biocatalysis and Biotransfor mations 3"</f>
        <v>Practical Methods for Biocatalysis and Biotransfor mations 3</v>
      </c>
      <c r="B1561" t="str">
        <f>"9781118605257"</f>
        <v>9781118605257</v>
      </c>
      <c r="C1561">
        <v>106.3</v>
      </c>
      <c r="D1561" t="str">
        <f t="shared" si="100"/>
        <v>USD</v>
      </c>
      <c r="E1561" t="str">
        <f>"2016"</f>
        <v>2016</v>
      </c>
      <c r="F1561" t="str">
        <f>"Whittall"</f>
        <v>Whittall</v>
      </c>
      <c r="G1561" t="str">
        <f t="shared" si="101"/>
        <v>avanddanesh</v>
      </c>
    </row>
    <row r="1562" spans="1:7" x14ac:dyDescent="0.25">
      <c r="A1562" t="str">
        <f>"Practical Methods for Biocatalysis and Biotransformations"</f>
        <v>Practical Methods for Biocatalysis and Biotransformations</v>
      </c>
      <c r="B1562" t="str">
        <f>"9780470519271"</f>
        <v>9780470519271</v>
      </c>
      <c r="C1562">
        <v>62</v>
      </c>
      <c r="D1562" t="str">
        <f t="shared" si="100"/>
        <v>USD</v>
      </c>
      <c r="E1562" t="str">
        <f>"2009"</f>
        <v>2009</v>
      </c>
      <c r="F1562" t="str">
        <f>"Whittall"</f>
        <v>Whittall</v>
      </c>
      <c r="G1562" t="str">
        <f t="shared" si="101"/>
        <v>avanddanesh</v>
      </c>
    </row>
    <row r="1563" spans="1:7" x14ac:dyDescent="0.25">
      <c r="A1563" t="str">
        <f>"Practical Methods for Biocatalysis and Biotransformations 2"</f>
        <v>Practical Methods for Biocatalysis and Biotransformations 2</v>
      </c>
      <c r="B1563" t="str">
        <f>"9781119991397"</f>
        <v>9781119991397</v>
      </c>
      <c r="C1563">
        <v>81</v>
      </c>
      <c r="D1563" t="str">
        <f t="shared" si="100"/>
        <v>USD</v>
      </c>
      <c r="E1563" t="str">
        <f>"2012"</f>
        <v>2012</v>
      </c>
      <c r="F1563" t="str">
        <f>"Whittall"</f>
        <v>Whittall</v>
      </c>
      <c r="G1563" t="str">
        <f t="shared" si="101"/>
        <v>avanddanesh</v>
      </c>
    </row>
    <row r="1564" spans="1:7" x14ac:dyDescent="0.25">
      <c r="A1564" t="str">
        <f>"Practical Pharmacology for the Pharmaceutical Sciences"</f>
        <v>Practical Pharmacology for the Pharmaceutical Sciences</v>
      </c>
      <c r="B1564" t="str">
        <f>"9781119975502"</f>
        <v>9781119975502</v>
      </c>
      <c r="C1564">
        <v>33.799999999999997</v>
      </c>
      <c r="D1564" t="str">
        <f t="shared" si="100"/>
        <v>USD</v>
      </c>
      <c r="E1564" t="str">
        <f>"2014"</f>
        <v>2014</v>
      </c>
      <c r="F1564" t="str">
        <f>"Salmon"</f>
        <v>Salmon</v>
      </c>
      <c r="G1564" t="str">
        <f t="shared" si="101"/>
        <v>avanddanesh</v>
      </c>
    </row>
    <row r="1565" spans="1:7" x14ac:dyDescent="0.25">
      <c r="A1565" t="str">
        <f>"Practical Raman Spectroscopy: An Introduction"</f>
        <v>Practical Raman Spectroscopy: An Introduction</v>
      </c>
      <c r="B1565" t="str">
        <f>"9780470683187"</f>
        <v>9780470683187</v>
      </c>
      <c r="C1565">
        <v>35.799999999999997</v>
      </c>
      <c r="D1565" t="str">
        <f t="shared" si="100"/>
        <v>USD</v>
      </c>
      <c r="E1565" t="str">
        <f>"2013"</f>
        <v>2013</v>
      </c>
      <c r="F1565" t="str">
        <f>"Vandenabeele"</f>
        <v>Vandenabeele</v>
      </c>
      <c r="G1565" t="str">
        <f t="shared" si="101"/>
        <v>avanddanesh</v>
      </c>
    </row>
    <row r="1566" spans="1:7" x14ac:dyDescent="0.25">
      <c r="A1566" t="str">
        <f>"Pratt's Essential Biochemistry Global Edition,4e"</f>
        <v>Pratt's Essential Biochemistry Global Edition,4e</v>
      </c>
      <c r="B1566" t="str">
        <f>"9781119451129"</f>
        <v>9781119451129</v>
      </c>
      <c r="C1566">
        <v>54.9</v>
      </c>
      <c r="D1566" t="str">
        <f t="shared" si="100"/>
        <v>USD</v>
      </c>
      <c r="E1566" t="str">
        <f>"2018"</f>
        <v>2018</v>
      </c>
      <c r="F1566" t="str">
        <f>"Pratt"</f>
        <v>Pratt</v>
      </c>
      <c r="G1566" t="str">
        <f t="shared" si="101"/>
        <v>avanddanesh</v>
      </c>
    </row>
    <row r="1567" spans="1:7" x14ac:dyDescent="0.25">
      <c r="A1567" t="str">
        <f>"PRECISION CRYSTALLIZATION: THEORY AND PRACTICE OF CONTROLLING CRYSTAL SIZE"</f>
        <v>PRECISION CRYSTALLIZATION: THEORY AND PRACTICE OF CONTROLLING CRYSTAL SIZE</v>
      </c>
      <c r="B1567" t="str">
        <f>"9781439806746"</f>
        <v>9781439806746</v>
      </c>
      <c r="C1567">
        <v>39.299999999999997</v>
      </c>
      <c r="D1567" t="str">
        <f>"GBP"</f>
        <v>GBP</v>
      </c>
      <c r="E1567" t="str">
        <f>"2010"</f>
        <v>2010</v>
      </c>
      <c r="F1567" t="str">
        <f>"LEUBNER, INGO|"</f>
        <v>LEUBNER, INGO|</v>
      </c>
      <c r="G1567" t="str">
        <f>"AsarBartar"</f>
        <v>AsarBartar</v>
      </c>
    </row>
    <row r="1568" spans="1:7" x14ac:dyDescent="0.25">
      <c r="A1568" t="str">
        <f>"Predictive ADMET: Integrated Approaches in Drug Discovery and Development"</f>
        <v>Predictive ADMET: Integrated Approaches in Drug Discovery and Development</v>
      </c>
      <c r="B1568" t="str">
        <f>"9781118299920"</f>
        <v>9781118299920</v>
      </c>
      <c r="C1568">
        <v>116.3</v>
      </c>
      <c r="D1568" t="str">
        <f>"USD"</f>
        <v>USD</v>
      </c>
      <c r="E1568" t="str">
        <f>"2014"</f>
        <v>2014</v>
      </c>
      <c r="F1568" t="str">
        <f>"Wang"</f>
        <v>Wang</v>
      </c>
      <c r="G1568" t="str">
        <f>"avanddanesh"</f>
        <v>avanddanesh</v>
      </c>
    </row>
    <row r="1569" spans="1:7" x14ac:dyDescent="0.25">
      <c r="A1569" t="str">
        <f>"Preparative Chromatography for Separation of Proteins"</f>
        <v>Preparative Chromatography for Separation of Proteins</v>
      </c>
      <c r="B1569" t="str">
        <f>"9781119031109"</f>
        <v>9781119031109</v>
      </c>
      <c r="C1569">
        <v>175.5</v>
      </c>
      <c r="D1569" t="str">
        <f>"USD"</f>
        <v>USD</v>
      </c>
      <c r="E1569" t="str">
        <f>"2017"</f>
        <v>2017</v>
      </c>
      <c r="F1569" t="str">
        <f>"Staby"</f>
        <v>Staby</v>
      </c>
      <c r="G1569" t="str">
        <f>"avanddanesh"</f>
        <v>avanddanesh</v>
      </c>
    </row>
    <row r="1570" spans="1:7" x14ac:dyDescent="0.25">
      <c r="A1570" t="str">
        <f>"Pressure Vessel Design Manual, 4th Edition"</f>
        <v>Pressure Vessel Design Manual, 4th Edition</v>
      </c>
      <c r="B1570" t="str">
        <f>"9780128100219"</f>
        <v>9780128100219</v>
      </c>
      <c r="C1570">
        <v>135</v>
      </c>
      <c r="D1570" t="str">
        <f>"USD"</f>
        <v>USD</v>
      </c>
      <c r="E1570" t="str">
        <f>"2017"</f>
        <v>2017</v>
      </c>
      <c r="F1570" t="str">
        <f>"Moss and Basic"</f>
        <v>Moss and Basic</v>
      </c>
      <c r="G1570" t="str">
        <f>"dehkadehketab"</f>
        <v>dehkadehketab</v>
      </c>
    </row>
    <row r="1571" spans="1:7" x14ac:dyDescent="0.25">
      <c r="A1571" t="str">
        <f>"Primer of NMR Theory with Calculations in Mathematica"</f>
        <v>Primer of NMR Theory with Calculations in Mathematica</v>
      </c>
      <c r="B1571" t="str">
        <f>"9781118588994"</f>
        <v>9781118588994</v>
      </c>
      <c r="C1571">
        <v>64</v>
      </c>
      <c r="D1571" t="str">
        <f>"USD"</f>
        <v>USD</v>
      </c>
      <c r="E1571" t="str">
        <f>"2015"</f>
        <v>2015</v>
      </c>
      <c r="F1571" t="str">
        <f>"Benesi"</f>
        <v>Benesi</v>
      </c>
      <c r="G1571" t="str">
        <f>"avanddanesh"</f>
        <v>avanddanesh</v>
      </c>
    </row>
    <row r="1572" spans="1:7" x14ac:dyDescent="0.25">
      <c r="A1572" t="str">
        <f>"Principle of Nuclear Chemistry :Essential Text Book"</f>
        <v>Principle of Nuclear Chemistry :Essential Text Book</v>
      </c>
      <c r="B1572" t="str">
        <f>"9781786340511"</f>
        <v>9781786340511</v>
      </c>
      <c r="C1572">
        <v>36</v>
      </c>
      <c r="D1572" t="str">
        <f>"GBP"</f>
        <v>GBP</v>
      </c>
      <c r="E1572" t="str">
        <f>"2017"</f>
        <v>2017</v>
      </c>
      <c r="F1572" t="str">
        <f>"Peter A C Mcpherson"</f>
        <v>Peter A C Mcpherson</v>
      </c>
      <c r="G1572" t="str">
        <f>"AsarBartar"</f>
        <v>AsarBartar</v>
      </c>
    </row>
    <row r="1573" spans="1:7" x14ac:dyDescent="0.25">
      <c r="A1573" t="str">
        <f>"Principles and Practice of Heterogeneous Catalysis,2e"</f>
        <v>Principles and Practice of Heterogeneous Catalysis,2e</v>
      </c>
      <c r="B1573" t="str">
        <f>"9783527314584"</f>
        <v>9783527314584</v>
      </c>
      <c r="C1573">
        <v>93</v>
      </c>
      <c r="D1573" t="str">
        <f t="shared" ref="D1573:D1579" si="102">"USD"</f>
        <v>USD</v>
      </c>
      <c r="E1573" t="str">
        <f>"2014"</f>
        <v>2014</v>
      </c>
      <c r="F1573" t="str">
        <f>"Thomas"</f>
        <v>Thomas</v>
      </c>
      <c r="G1573" t="str">
        <f>"avanddanesh"</f>
        <v>avanddanesh</v>
      </c>
    </row>
    <row r="1574" spans="1:7" x14ac:dyDescent="0.25">
      <c r="A1574" t="str">
        <f>"Principles and Practice of Variable Pressure:Environmental Scanning Electron Microscopy"</f>
        <v>Principles and Practice of Variable Pressure:Environmental Scanning Electron Microscopy</v>
      </c>
      <c r="B1574" t="str">
        <f>"9780470065402"</f>
        <v>9780470065402</v>
      </c>
      <c r="C1574">
        <v>48</v>
      </c>
      <c r="D1574" t="str">
        <f t="shared" si="102"/>
        <v>USD</v>
      </c>
      <c r="E1574" t="str">
        <f>"2008"</f>
        <v>2008</v>
      </c>
      <c r="F1574" t="str">
        <f>"Stokes"</f>
        <v>Stokes</v>
      </c>
      <c r="G1574" t="str">
        <f>"safirketab"</f>
        <v>safirketab</v>
      </c>
    </row>
    <row r="1575" spans="1:7" x14ac:dyDescent="0.25">
      <c r="A1575" t="str">
        <f>"PRINCIPLES OF BIOCHEMISTRY : With Special Reference To Fishes, HB"</f>
        <v>PRINCIPLES OF BIOCHEMISTRY : With Special Reference To Fishes, HB</v>
      </c>
      <c r="B1575" t="str">
        <f>"9789380428543"</f>
        <v>9789380428543</v>
      </c>
      <c r="C1575">
        <v>25.9</v>
      </c>
      <c r="D1575" t="str">
        <f t="shared" si="102"/>
        <v>USD</v>
      </c>
      <c r="E1575" t="str">
        <f>"2012"</f>
        <v>2012</v>
      </c>
      <c r="F1575" t="str">
        <f>"Kasturi"</f>
        <v>Kasturi</v>
      </c>
      <c r="G1575" t="str">
        <f>"supply"</f>
        <v>supply</v>
      </c>
    </row>
    <row r="1576" spans="1:7" x14ac:dyDescent="0.25">
      <c r="A1576" t="str">
        <f>"Principles of Environmental Chemistry"</f>
        <v>Principles of Environmental Chemistry</v>
      </c>
      <c r="B1576" t="str">
        <f>"9780763759391"</f>
        <v>9780763759391</v>
      </c>
      <c r="C1576">
        <v>7.5</v>
      </c>
      <c r="D1576" t="str">
        <f t="shared" si="102"/>
        <v>USD</v>
      </c>
      <c r="E1576" t="str">
        <f>"2009"</f>
        <v>2009</v>
      </c>
      <c r="F1576" t="str">
        <f>"Girard"</f>
        <v>Girard</v>
      </c>
      <c r="G1576" t="str">
        <f>"kowkab"</f>
        <v>kowkab</v>
      </c>
    </row>
    <row r="1577" spans="1:7" x14ac:dyDescent="0.25">
      <c r="A1577" t="str">
        <f>"Principles of Inorganic Chemistry"</f>
        <v>Principles of Inorganic Chemistry</v>
      </c>
      <c r="B1577" t="str">
        <f>"9781118859100"</f>
        <v>9781118859100</v>
      </c>
      <c r="C1577">
        <v>127.5</v>
      </c>
      <c r="D1577" t="str">
        <f t="shared" si="102"/>
        <v>USD</v>
      </c>
      <c r="E1577" t="str">
        <f>"2015"</f>
        <v>2015</v>
      </c>
      <c r="F1577" t="str">
        <f>"Pfennig"</f>
        <v>Pfennig</v>
      </c>
      <c r="G1577" t="str">
        <f>"Parsian Publication"</f>
        <v>Parsian Publication</v>
      </c>
    </row>
    <row r="1578" spans="1:7" x14ac:dyDescent="0.25">
      <c r="A1578" t="str">
        <f>"Principles of Inorganic Chemistry"</f>
        <v>Principles of Inorganic Chemistry</v>
      </c>
      <c r="B1578" t="str">
        <f>"9781118859100"</f>
        <v>9781118859100</v>
      </c>
      <c r="C1578">
        <v>120</v>
      </c>
      <c r="D1578" t="str">
        <f t="shared" si="102"/>
        <v>USD</v>
      </c>
      <c r="E1578" t="str">
        <f>"2015"</f>
        <v>2015</v>
      </c>
      <c r="F1578" t="str">
        <f>"Pfennig"</f>
        <v>Pfennig</v>
      </c>
      <c r="G1578" t="str">
        <f>"avanddanesh"</f>
        <v>avanddanesh</v>
      </c>
    </row>
    <row r="1579" spans="1:7" x14ac:dyDescent="0.25">
      <c r="A1579" t="str">
        <f>"Principles of Mass Spectrometry Applied to Biomolecules"</f>
        <v>Principles of Mass Spectrometry Applied to Biomolecules</v>
      </c>
      <c r="B1579" t="str">
        <f>"9780471721840"</f>
        <v>9780471721840</v>
      </c>
      <c r="C1579">
        <v>107.4</v>
      </c>
      <c r="D1579" t="str">
        <f t="shared" si="102"/>
        <v>USD</v>
      </c>
      <c r="E1579" t="str">
        <f>"2006"</f>
        <v>2006</v>
      </c>
      <c r="F1579" t="str">
        <f>"Lifshitz-Chemistry"</f>
        <v>Lifshitz-Chemistry</v>
      </c>
      <c r="G1579" t="str">
        <f>"safirketab"</f>
        <v>safirketab</v>
      </c>
    </row>
    <row r="1580" spans="1:7" x14ac:dyDescent="0.25">
      <c r="A1580" t="str">
        <f>"PRINCIPLES OF NUCLEAR CHEMISTRY"</f>
        <v>PRINCIPLES OF NUCLEAR CHEMISTRY</v>
      </c>
      <c r="B1580" t="str">
        <f>"9781786340504"</f>
        <v>9781786340504</v>
      </c>
      <c r="C1580">
        <v>65.7</v>
      </c>
      <c r="D1580" t="str">
        <f>"GBP"</f>
        <v>GBP</v>
      </c>
      <c r="E1580" t="str">
        <f>"2017"</f>
        <v>2017</v>
      </c>
      <c r="F1580" t="str">
        <f>"MCPHERSON PETER A C"</f>
        <v>MCPHERSON PETER A C</v>
      </c>
      <c r="G1580" t="str">
        <f>"AsarBartar"</f>
        <v>AsarBartar</v>
      </c>
    </row>
    <row r="1581" spans="1:7" x14ac:dyDescent="0.25">
      <c r="A1581" t="str">
        <f>"Principles of Polymer Systems, Sixth Edition"</f>
        <v>Principles of Polymer Systems, Sixth Edition</v>
      </c>
      <c r="B1581" t="str">
        <f>"9781482223781"</f>
        <v>9781482223781</v>
      </c>
      <c r="C1581">
        <v>72.8</v>
      </c>
      <c r="D1581" t="str">
        <f>"GBP"</f>
        <v>GBP</v>
      </c>
      <c r="E1581" t="str">
        <f>"2015"</f>
        <v>2015</v>
      </c>
      <c r="F1581" t="str">
        <f>"Lynden Archer"</f>
        <v>Lynden Archer</v>
      </c>
      <c r="G1581" t="str">
        <f>"AsarBartar"</f>
        <v>AsarBartar</v>
      </c>
    </row>
    <row r="1582" spans="1:7" x14ac:dyDescent="0.25">
      <c r="A1582" t="str">
        <f>"Principles of Toxicology, Third Edition"</f>
        <v>Principles of Toxicology, Third Edition</v>
      </c>
      <c r="B1582" t="str">
        <f>"9781466503427"</f>
        <v>9781466503427</v>
      </c>
      <c r="C1582">
        <v>47.6</v>
      </c>
      <c r="D1582" t="str">
        <f>"GBP"</f>
        <v>GBP</v>
      </c>
      <c r="E1582" t="str">
        <f>"2015"</f>
        <v>2015</v>
      </c>
      <c r="F1582" t="str">
        <f>"Karen E. Stine, Tho"</f>
        <v>Karen E. Stine, Tho</v>
      </c>
      <c r="G1582" t="str">
        <f>"AsarBartar"</f>
        <v>AsarBartar</v>
      </c>
    </row>
    <row r="1583" spans="1:7" x14ac:dyDescent="0.25">
      <c r="A1583" t="str">
        <f>"Privileged Chiral Ligands and Catalysts"</f>
        <v>Privileged Chiral Ligands and Catalysts</v>
      </c>
      <c r="B1583" t="str">
        <f>"9783527327041"</f>
        <v>9783527327041</v>
      </c>
      <c r="C1583">
        <v>76.8</v>
      </c>
      <c r="D1583" t="str">
        <f>"USD"</f>
        <v>USD</v>
      </c>
      <c r="E1583" t="str">
        <f>"2011"</f>
        <v>2011</v>
      </c>
      <c r="F1583" t="str">
        <f>"Zhou"</f>
        <v>Zhou</v>
      </c>
      <c r="G1583" t="str">
        <f>"avanddanesh"</f>
        <v>avanddanesh</v>
      </c>
    </row>
    <row r="1584" spans="1:7" x14ac:dyDescent="0.25">
      <c r="A1584" t="str">
        <f>"Privileged Chiral Ligands and Catalysts"</f>
        <v>Privileged Chiral Ligands and Catalysts</v>
      </c>
      <c r="B1584" t="str">
        <f>"9783527327041"</f>
        <v>9783527327041</v>
      </c>
      <c r="C1584">
        <v>76.8</v>
      </c>
      <c r="D1584" t="str">
        <f>"USD"</f>
        <v>USD</v>
      </c>
      <c r="E1584" t="str">
        <f>"2011"</f>
        <v>2011</v>
      </c>
      <c r="F1584" t="str">
        <f>"Zhou"</f>
        <v>Zhou</v>
      </c>
      <c r="G1584" t="str">
        <f>"safirketab"</f>
        <v>safirketab</v>
      </c>
    </row>
    <row r="1585" spans="1:7" x14ac:dyDescent="0.25">
      <c r="A1585" t="str">
        <f>"Probes and Tags to Study Biomolecular Function: for Proteins, RNA, and Membranes"</f>
        <v>Probes and Tags to Study Biomolecular Function: for Proteins, RNA, and Membranes</v>
      </c>
      <c r="B1585" t="str">
        <f>"9783527315666"</f>
        <v>9783527315666</v>
      </c>
      <c r="C1585">
        <v>81</v>
      </c>
      <c r="D1585" t="str">
        <f>"USD"</f>
        <v>USD</v>
      </c>
      <c r="E1585" t="str">
        <f>"2008"</f>
        <v>2008</v>
      </c>
      <c r="F1585" t="str">
        <f>"Miller"</f>
        <v>Miller</v>
      </c>
      <c r="G1585" t="str">
        <f>"safirketab"</f>
        <v>safirketab</v>
      </c>
    </row>
    <row r="1586" spans="1:7" x14ac:dyDescent="0.25">
      <c r="A1586" t="str">
        <f>"Problems In Organic Chemistary"</f>
        <v>Problems In Organic Chemistary</v>
      </c>
      <c r="B1586" t="str">
        <f>"9788183568142"</f>
        <v>9788183568142</v>
      </c>
      <c r="C1586">
        <v>6.6</v>
      </c>
      <c r="D1586" t="str">
        <f>"USD"</f>
        <v>USD</v>
      </c>
      <c r="E1586" t="str">
        <f>"2011"</f>
        <v>2011</v>
      </c>
      <c r="F1586" t="str">
        <f>"Kislaya"</f>
        <v>Kislaya</v>
      </c>
      <c r="G1586" t="str">
        <f>"Parsian Publication"</f>
        <v>Parsian Publication</v>
      </c>
    </row>
    <row r="1587" spans="1:7" x14ac:dyDescent="0.25">
      <c r="A1587" t="str">
        <f>"PROBLEMS OF INSTRUMENTAL ANALYTICAL CHEMISTRY: A HANDS-ON GUIDE"</f>
        <v>PROBLEMS OF INSTRUMENTAL ANALYTICAL CHEMISTRY: A HANDS-ON GUIDE</v>
      </c>
      <c r="B1587" t="str">
        <f>"9781786341808"</f>
        <v>9781786341808</v>
      </c>
      <c r="C1587">
        <v>36</v>
      </c>
      <c r="D1587" t="str">
        <f>"GBP"</f>
        <v>GBP</v>
      </c>
      <c r="E1587" t="str">
        <f>"2017"</f>
        <v>2017</v>
      </c>
      <c r="F1587" t="str">
        <f>"ANDRADE-GARDA JOSE"</f>
        <v>ANDRADE-GARDA JOSE</v>
      </c>
      <c r="G1587" t="str">
        <f>"AsarBartar"</f>
        <v>AsarBartar</v>
      </c>
    </row>
    <row r="1588" spans="1:7" x14ac:dyDescent="0.25">
      <c r="A1588" t="str">
        <f>"Problem-Solving Exercises in Green and Sustainable Chemistry"</f>
        <v>Problem-Solving Exercises in Green and Sustainable Chemistry</v>
      </c>
      <c r="B1588" t="str">
        <f>"9781482252576"</f>
        <v>9781482252576</v>
      </c>
      <c r="C1588">
        <v>23.8</v>
      </c>
      <c r="D1588" t="str">
        <f>"GBP"</f>
        <v>GBP</v>
      </c>
      <c r="E1588" t="str">
        <f>"2016"</f>
        <v>2016</v>
      </c>
      <c r="F1588" t="str">
        <f>"Albert S. Matlack,"</f>
        <v>Albert S. Matlack,</v>
      </c>
      <c r="G1588" t="str">
        <f>"AsarBartar"</f>
        <v>AsarBartar</v>
      </c>
    </row>
    <row r="1589" spans="1:7" x14ac:dyDescent="0.25">
      <c r="A1589" t="str">
        <f>"Process Design Strategies for Biomass Conversion Systems"</f>
        <v>Process Design Strategies for Biomass Conversion Systems</v>
      </c>
      <c r="B1589" t="str">
        <f>"9781118699157"</f>
        <v>9781118699157</v>
      </c>
      <c r="C1589">
        <v>119</v>
      </c>
      <c r="D1589" t="str">
        <f>"USD"</f>
        <v>USD</v>
      </c>
      <c r="E1589" t="str">
        <f>"2016"</f>
        <v>2016</v>
      </c>
      <c r="F1589" t="str">
        <f>"Ng"</f>
        <v>Ng</v>
      </c>
      <c r="G1589" t="str">
        <f>"avanddanesh"</f>
        <v>avanddanesh</v>
      </c>
    </row>
    <row r="1590" spans="1:7" x14ac:dyDescent="0.25">
      <c r="A1590" t="str">
        <f>"Process Intensification for Sustainable Energy Conversion"</f>
        <v>Process Intensification for Sustainable Energy Conversion</v>
      </c>
      <c r="B1590" t="str">
        <f>"9781118449356"</f>
        <v>9781118449356</v>
      </c>
      <c r="C1590">
        <v>112</v>
      </c>
      <c r="D1590" t="str">
        <f>"USD"</f>
        <v>USD</v>
      </c>
      <c r="E1590" t="str">
        <f>"2015"</f>
        <v>2015</v>
      </c>
      <c r="F1590" t="str">
        <f>"Gallucci"</f>
        <v>Gallucci</v>
      </c>
      <c r="G1590" t="str">
        <f>"avanddanesh"</f>
        <v>avanddanesh</v>
      </c>
    </row>
    <row r="1591" spans="1:7" x14ac:dyDescent="0.25">
      <c r="A1591" t="str">
        <f>"Process Intensification Technologies for Green Chemistry: Engineering Solutions for Sustainable Chemical Processing"</f>
        <v>Process Intensification Technologies for Green Chemistry: Engineering Solutions for Sustainable Chemical Processing</v>
      </c>
      <c r="B1591" t="str">
        <f>"9780470972670"</f>
        <v>9780470972670</v>
      </c>
      <c r="C1591">
        <v>81.3</v>
      </c>
      <c r="D1591" t="str">
        <f>"USD"</f>
        <v>USD</v>
      </c>
      <c r="E1591" t="str">
        <f>"2013"</f>
        <v>2013</v>
      </c>
      <c r="F1591" t="str">
        <f>"Boodhoo"</f>
        <v>Boodhoo</v>
      </c>
      <c r="G1591" t="str">
        <f>"avanddanesh"</f>
        <v>avanddanesh</v>
      </c>
    </row>
    <row r="1592" spans="1:7" x14ac:dyDescent="0.25">
      <c r="A1592" t="str">
        <f>"Process Intensification, Engineering for Efficiency, Sustainability and Flexibility, 2nd Edition"</f>
        <v>Process Intensification, Engineering for Efficiency, Sustainability and Flexibility, 2nd Edition</v>
      </c>
      <c r="B1592" t="str">
        <f>"9780081013281"</f>
        <v>9780081013281</v>
      </c>
      <c r="C1592">
        <v>135</v>
      </c>
      <c r="D1592" t="str">
        <f>"USD"</f>
        <v>USD</v>
      </c>
      <c r="E1592" t="str">
        <f>"2017"</f>
        <v>2017</v>
      </c>
      <c r="F1592" t="str">
        <f>"Reay et al"</f>
        <v>Reay et al</v>
      </c>
      <c r="G1592" t="str">
        <f>"dehkadehketab"</f>
        <v>dehkadehketab</v>
      </c>
    </row>
    <row r="1593" spans="1:7" x14ac:dyDescent="0.25">
      <c r="A1593" t="str">
        <f>"Process Modeling and Simulation for Chemical Engineers: Theory and Practice"</f>
        <v>Process Modeling and Simulation for Chemical Engineers: Theory and Practice</v>
      </c>
      <c r="B1593" t="str">
        <f>"9781118914687"</f>
        <v>9781118914687</v>
      </c>
      <c r="C1593">
        <v>103.5</v>
      </c>
      <c r="D1593" t="str">
        <f>"USD"</f>
        <v>USD</v>
      </c>
      <c r="E1593" t="str">
        <f>"2017"</f>
        <v>2017</v>
      </c>
      <c r="F1593" t="str">
        <f>"Upreti"</f>
        <v>Upreti</v>
      </c>
      <c r="G1593" t="str">
        <f>"avanddanesh"</f>
        <v>avanddanesh</v>
      </c>
    </row>
    <row r="1594" spans="1:7" x14ac:dyDescent="0.25">
      <c r="A1594" t="str">
        <f>"Process Synthesis and Process IntensificationMethodological Approaches"</f>
        <v>Process Synthesis and Process IntensificationMethodological Approaches</v>
      </c>
      <c r="B1594" t="str">
        <f>"9783110465051"</f>
        <v>9783110465051</v>
      </c>
      <c r="C1594">
        <v>62.95</v>
      </c>
      <c r="D1594" t="str">
        <f>"EUR"</f>
        <v>EUR</v>
      </c>
      <c r="E1594" t="str">
        <f>"2017"</f>
        <v>2017</v>
      </c>
      <c r="F1594" t="str">
        <f>"Ben-Guang Rong Ben-"</f>
        <v>Ben-Guang Rong Ben-</v>
      </c>
      <c r="G1594" t="str">
        <f>"AsarBartar"</f>
        <v>AsarBartar</v>
      </c>
    </row>
    <row r="1595" spans="1:7" x14ac:dyDescent="0.25">
      <c r="A1595" t="str">
        <f>"Process Systems Engineering for Pharmaceutical Manufacturing, From Product Design to Enterprise-Wide Decision-Making, Volume41"</f>
        <v>Process Systems Engineering for Pharmaceutical Manufacturing, From Product Design to Enterprise-Wide Decision-Making, Volume41</v>
      </c>
      <c r="B1595" t="str">
        <f>"9780444639509"</f>
        <v>9780444639509</v>
      </c>
      <c r="C1595">
        <v>225</v>
      </c>
      <c r="D1595" t="str">
        <f t="shared" ref="D1595:D1601" si="103">"USD"</f>
        <v>USD</v>
      </c>
      <c r="E1595" t="str">
        <f>"2018"</f>
        <v>2018</v>
      </c>
      <c r="F1595" t="str">
        <f>"Singh and Yuan"</f>
        <v>Singh and Yuan</v>
      </c>
      <c r="G1595" t="str">
        <f>"dehkadehketab"</f>
        <v>dehkadehketab</v>
      </c>
    </row>
    <row r="1596" spans="1:7" x14ac:dyDescent="0.25">
      <c r="A1596" t="str">
        <f>"Product and Process Modelling, A Case Study Approach"</f>
        <v>Product and Process Modelling, A Case Study Approach</v>
      </c>
      <c r="B1596" t="str">
        <f>"9780444638458"</f>
        <v>9780444638458</v>
      </c>
      <c r="C1596">
        <v>112.5</v>
      </c>
      <c r="D1596" t="str">
        <f t="shared" si="103"/>
        <v>USD</v>
      </c>
      <c r="E1596" t="str">
        <f>"2017"</f>
        <v>2017</v>
      </c>
      <c r="F1596" t="str">
        <f>"Cameron and Gani"</f>
        <v>Cameron and Gani</v>
      </c>
      <c r="G1596" t="str">
        <f>"dehkadehketab"</f>
        <v>dehkadehketab</v>
      </c>
    </row>
    <row r="1597" spans="1:7" x14ac:dyDescent="0.25">
      <c r="A1597" t="str">
        <f>"Professional Rope Access: A Guide To Working Safely at Height"</f>
        <v>Professional Rope Access: A Guide To Working Safely at Height</v>
      </c>
      <c r="B1597" t="str">
        <f>"9781118859605"</f>
        <v>9781118859605</v>
      </c>
      <c r="C1597">
        <v>127.5</v>
      </c>
      <c r="D1597" t="str">
        <f t="shared" si="103"/>
        <v>USD</v>
      </c>
      <c r="E1597" t="str">
        <f>"2016"</f>
        <v>2016</v>
      </c>
      <c r="F1597" t="str">
        <f>"McCurley"</f>
        <v>McCurley</v>
      </c>
      <c r="G1597" t="str">
        <f>"avanddanesh"</f>
        <v>avanddanesh</v>
      </c>
    </row>
    <row r="1598" spans="1:7" x14ac:dyDescent="0.25">
      <c r="A1598" t="str">
        <f>"Progress in Filtration and Separation"</f>
        <v>Progress in Filtration and Separation</v>
      </c>
      <c r="B1598" t="str">
        <f>"9780081013922"</f>
        <v>9780081013922</v>
      </c>
      <c r="C1598">
        <v>180</v>
      </c>
      <c r="D1598" t="str">
        <f t="shared" si="103"/>
        <v>USD</v>
      </c>
      <c r="E1598" t="str">
        <f>"2017"</f>
        <v>2017</v>
      </c>
      <c r="F1598" t="str">
        <f>"Tarleton"</f>
        <v>Tarleton</v>
      </c>
      <c r="G1598" t="str">
        <f>"dehkadehketab"</f>
        <v>dehkadehketab</v>
      </c>
    </row>
    <row r="1599" spans="1:7" x14ac:dyDescent="0.25">
      <c r="A1599" t="str">
        <f>"Progress in Inorganic Chemistry, V 58"</f>
        <v>Progress in Inorganic Chemistry, V 58</v>
      </c>
      <c r="B1599" t="str">
        <f>"9781118792827"</f>
        <v>9781118792827</v>
      </c>
      <c r="C1599">
        <v>116.2</v>
      </c>
      <c r="D1599" t="str">
        <f t="shared" si="103"/>
        <v>USD</v>
      </c>
      <c r="E1599" t="str">
        <f>"2014"</f>
        <v>2014</v>
      </c>
      <c r="F1599" t="str">
        <f>"Karlin"</f>
        <v>Karlin</v>
      </c>
      <c r="G1599" t="str">
        <f>"avanddanesh"</f>
        <v>avanddanesh</v>
      </c>
    </row>
    <row r="1600" spans="1:7" x14ac:dyDescent="0.25">
      <c r="A1600" t="str">
        <f>"Progress in Inorganic Chemistry, V 59"</f>
        <v>Progress in Inorganic Chemistry, V 59</v>
      </c>
      <c r="B1600" t="str">
        <f>"9781118870167"</f>
        <v>9781118870167</v>
      </c>
      <c r="C1600">
        <v>135.80000000000001</v>
      </c>
      <c r="D1600" t="str">
        <f t="shared" si="103"/>
        <v>USD</v>
      </c>
      <c r="E1600" t="str">
        <f>"2014"</f>
        <v>2014</v>
      </c>
      <c r="F1600" t="str">
        <f>"Karlin"</f>
        <v>Karlin</v>
      </c>
      <c r="G1600" t="str">
        <f>"avanddanesh"</f>
        <v>avanddanesh</v>
      </c>
    </row>
    <row r="1601" spans="1:7" x14ac:dyDescent="0.25">
      <c r="A1601" t="str">
        <f>"Progress in Medicinal Chemistry, Volume56"</f>
        <v>Progress in Medicinal Chemistry, Volume56</v>
      </c>
      <c r="B1601" t="str">
        <f>"9780444639318"</f>
        <v>9780444639318</v>
      </c>
      <c r="C1601">
        <v>180.9</v>
      </c>
      <c r="D1601" t="str">
        <f t="shared" si="103"/>
        <v>USD</v>
      </c>
      <c r="E1601" t="str">
        <f>"2017"</f>
        <v>2017</v>
      </c>
      <c r="F1601" t="str">
        <f>"Witty and Cox"</f>
        <v>Witty and Cox</v>
      </c>
      <c r="G1601" t="str">
        <f>"dehkadehketab"</f>
        <v>dehkadehketab</v>
      </c>
    </row>
    <row r="1602" spans="1:7" x14ac:dyDescent="0.25">
      <c r="A1602" t="str">
        <f>"Progress Reports on Impedance Spectroscopy "</f>
        <v xml:space="preserve">Progress Reports on Impedance Spectroscopy </v>
      </c>
      <c r="B1602" t="str">
        <f>"9783110447569"</f>
        <v>9783110447569</v>
      </c>
      <c r="C1602">
        <v>59.5</v>
      </c>
      <c r="D1602" t="str">
        <f>"EUR"</f>
        <v>EUR</v>
      </c>
      <c r="E1602" t="str">
        <f>"2016"</f>
        <v>2016</v>
      </c>
      <c r="F1602" t="str">
        <f>"Ed. by Kanoun, Olfa"</f>
        <v>Ed. by Kanoun, Olfa</v>
      </c>
      <c r="G1602" t="str">
        <f>"AsarBartar"</f>
        <v>AsarBartar</v>
      </c>
    </row>
    <row r="1603" spans="1:7" x14ac:dyDescent="0.25">
      <c r="A1603" t="str">
        <f>"Protein Analysis using Mass Spectrometry: Accelerating Protein Biotherapeutics from Lab to Patient"</f>
        <v>Protein Analysis using Mass Spectrometry: Accelerating Protein Biotherapeutics from Lab to Patient</v>
      </c>
      <c r="B1603" t="str">
        <f>"9781118605196"</f>
        <v>9781118605196</v>
      </c>
      <c r="C1603">
        <v>157.5</v>
      </c>
      <c r="D1603" t="str">
        <f t="shared" ref="D1603:D1610" si="104">"USD"</f>
        <v>USD</v>
      </c>
      <c r="E1603" t="str">
        <f>"2017"</f>
        <v>2017</v>
      </c>
      <c r="F1603" t="str">
        <f>"Lee"</f>
        <v>Lee</v>
      </c>
      <c r="G1603" t="str">
        <f>"avanddanesh"</f>
        <v>avanddanesh</v>
      </c>
    </row>
    <row r="1604" spans="1:7" x14ac:dyDescent="0.25">
      <c r="A1604" t="str">
        <f>"Protein Carbonylation: Principles, Analysis, and Biological Implications"</f>
        <v>Protein Carbonylation: Principles, Analysis, and Biological Implications</v>
      </c>
      <c r="B1604" t="str">
        <f>"9781119074915"</f>
        <v>9781119074915</v>
      </c>
      <c r="C1604">
        <v>157.5</v>
      </c>
      <c r="D1604" t="str">
        <f t="shared" si="104"/>
        <v>USD</v>
      </c>
      <c r="E1604" t="str">
        <f>"2017"</f>
        <v>2017</v>
      </c>
      <c r="F1604" t="str">
        <f>"Ros"</f>
        <v>Ros</v>
      </c>
      <c r="G1604" t="str">
        <f>"avanddanesh"</f>
        <v>avanddanesh</v>
      </c>
    </row>
    <row r="1605" spans="1:7" x14ac:dyDescent="0.25">
      <c r="A1605" t="str">
        <f>"Protein Chaperones and Protection from Neurodegenerative Diseases"</f>
        <v>Protein Chaperones and Protection from Neurodegenerative Diseases</v>
      </c>
      <c r="B1605" t="str">
        <f>"9780470569078"</f>
        <v>9780470569078</v>
      </c>
      <c r="C1605">
        <v>62.4</v>
      </c>
      <c r="D1605" t="str">
        <f t="shared" si="104"/>
        <v>USD</v>
      </c>
      <c r="E1605" t="str">
        <f>"2011"</f>
        <v>2011</v>
      </c>
      <c r="F1605" t="str">
        <f>"Witt"</f>
        <v>Witt</v>
      </c>
      <c r="G1605" t="str">
        <f>"avanddanesh"</f>
        <v>avanddanesh</v>
      </c>
    </row>
    <row r="1606" spans="1:7" x14ac:dyDescent="0.25">
      <c r="A1606" t="str">
        <f>"Protein Degradation:V2: The Ubiquitin-Proteasome System"</f>
        <v>Protein Degradation:V2: The Ubiquitin-Proteasome System</v>
      </c>
      <c r="B1606" t="str">
        <f>"9783527311309"</f>
        <v>9783527311309</v>
      </c>
      <c r="C1606">
        <v>126</v>
      </c>
      <c r="D1606" t="str">
        <f t="shared" si="104"/>
        <v>USD</v>
      </c>
      <c r="E1606" t="str">
        <f>"2006"</f>
        <v>2006</v>
      </c>
      <c r="F1606" t="str">
        <f>"Cell and Molecular B"</f>
        <v>Cell and Molecular B</v>
      </c>
      <c r="G1606" t="str">
        <f>"safirketab"</f>
        <v>safirketab</v>
      </c>
    </row>
    <row r="1607" spans="1:7" x14ac:dyDescent="0.25">
      <c r="A1607" t="str">
        <f>"Protein Degradation:V3: Cell Biology of the Ubiquitin-Proteasome System"</f>
        <v>Protein Degradation:V3: Cell Biology of the Ubiquitin-Proteasome System</v>
      </c>
      <c r="B1607" t="str">
        <f>"9783527314355"</f>
        <v>9783527314355</v>
      </c>
      <c r="C1607">
        <v>126</v>
      </c>
      <c r="D1607" t="str">
        <f t="shared" si="104"/>
        <v>USD</v>
      </c>
      <c r="E1607" t="str">
        <f>"2006"</f>
        <v>2006</v>
      </c>
      <c r="F1607" t="str">
        <f>"Mayer-Life &amp; Medical"</f>
        <v>Mayer-Life &amp; Medical</v>
      </c>
      <c r="G1607" t="str">
        <f>"safirketab"</f>
        <v>safirketab</v>
      </c>
    </row>
    <row r="1608" spans="1:7" x14ac:dyDescent="0.25">
      <c r="A1608" t="str">
        <f>"Protein Degradation:V4: The Ubiquitin-Proteasome System and Disease"</f>
        <v>Protein Degradation:V4: The Ubiquitin-Proteasome System and Disease</v>
      </c>
      <c r="B1608" t="str">
        <f>"9783527314362"</f>
        <v>9783527314362</v>
      </c>
      <c r="C1608">
        <v>126</v>
      </c>
      <c r="D1608" t="str">
        <f t="shared" si="104"/>
        <v>USD</v>
      </c>
      <c r="E1608" t="str">
        <f>"2008"</f>
        <v>2008</v>
      </c>
      <c r="F1608" t="str">
        <f>"Mayer"</f>
        <v>Mayer</v>
      </c>
      <c r="G1608" t="str">
        <f>"safirketab"</f>
        <v>safirketab</v>
      </c>
    </row>
    <row r="1609" spans="1:7" x14ac:dyDescent="0.25">
      <c r="A1609" t="str">
        <f>"Protein Evolution,2e"</f>
        <v>Protein Evolution,2e</v>
      </c>
      <c r="B1609" t="str">
        <f>"9781405151665"</f>
        <v>9781405151665</v>
      </c>
      <c r="C1609">
        <v>36</v>
      </c>
      <c r="D1609" t="str">
        <f t="shared" si="104"/>
        <v>USD</v>
      </c>
      <c r="E1609" t="str">
        <f>"2007"</f>
        <v>2007</v>
      </c>
      <c r="F1609" t="str">
        <f>"Patthy"</f>
        <v>Patthy</v>
      </c>
      <c r="G1609" t="str">
        <f>"avanddanesh"</f>
        <v>avanddanesh</v>
      </c>
    </row>
    <row r="1610" spans="1:7" x14ac:dyDescent="0.25">
      <c r="A1610" t="str">
        <f>"Protein Targeting with Small Molecules: Chemical Biology Techniques and Applications"</f>
        <v>Protein Targeting with Small Molecules: Chemical Biology Techniques and Applications</v>
      </c>
      <c r="B1610" t="str">
        <f>"9780470120538"</f>
        <v>9780470120538</v>
      </c>
      <c r="C1610">
        <v>84.42</v>
      </c>
      <c r="D1610" t="str">
        <f t="shared" si="104"/>
        <v>USD</v>
      </c>
      <c r="E1610" t="str">
        <f>"2009"</f>
        <v>2009</v>
      </c>
      <c r="F1610" t="str">
        <f>"Osada"</f>
        <v>Osada</v>
      </c>
      <c r="G1610" t="str">
        <f>"safirketab"</f>
        <v>safirketab</v>
      </c>
    </row>
    <row r="1611" spans="1:7" x14ac:dyDescent="0.25">
      <c r="A1611" t="str">
        <f>"PROTEINS : ENERGY, HEAT AND SIGNAL FLOW"</f>
        <v>PROTEINS : ENERGY, HEAT AND SIGNAL FLOW</v>
      </c>
      <c r="B1611" t="str">
        <f>"9781420087031"</f>
        <v>9781420087031</v>
      </c>
      <c r="C1611">
        <v>26.7</v>
      </c>
      <c r="D1611" t="str">
        <f>"GBP"</f>
        <v>GBP</v>
      </c>
      <c r="E1611" t="str">
        <f>"2010"</f>
        <v>2010</v>
      </c>
      <c r="F1611" t="str">
        <f>"DAVID M. LEITNER AN"</f>
        <v>DAVID M. LEITNER AN</v>
      </c>
      <c r="G1611" t="str">
        <f>"AsarBartar"</f>
        <v>AsarBartar</v>
      </c>
    </row>
    <row r="1612" spans="1:7" x14ac:dyDescent="0.25">
      <c r="A1612" t="str">
        <f>"Proteomics in Drug Research"</f>
        <v>Proteomics in Drug Research</v>
      </c>
      <c r="B1612" t="str">
        <f>"9783527312269"</f>
        <v>9783527312269</v>
      </c>
      <c r="C1612">
        <v>126</v>
      </c>
      <c r="D1612" t="str">
        <f>"USD"</f>
        <v>USD</v>
      </c>
      <c r="E1612" t="str">
        <f>"2006"</f>
        <v>2006</v>
      </c>
      <c r="F1612" t="str">
        <f>"Proteomics"</f>
        <v>Proteomics</v>
      </c>
      <c r="G1612" t="str">
        <f>"safirketab"</f>
        <v>safirketab</v>
      </c>
    </row>
    <row r="1613" spans="1:7" x14ac:dyDescent="0.25">
      <c r="A1613" t="str">
        <f>"Proton Transfer Reaction Mass Spectrometry: Principles and Applications"</f>
        <v>Proton Transfer Reaction Mass Spectrometry: Principles and Applications</v>
      </c>
      <c r="B1613" t="str">
        <f>"9781405176682"</f>
        <v>9781405176682</v>
      </c>
      <c r="C1613">
        <v>105</v>
      </c>
      <c r="D1613" t="str">
        <f>"USD"</f>
        <v>USD</v>
      </c>
      <c r="E1613" t="str">
        <f>"2014"</f>
        <v>2014</v>
      </c>
      <c r="F1613" t="str">
        <f>"Ellis"</f>
        <v>Ellis</v>
      </c>
      <c r="G1613" t="str">
        <f>"avanddanesh"</f>
        <v>avanddanesh</v>
      </c>
    </row>
    <row r="1614" spans="1:7" x14ac:dyDescent="0.25">
      <c r="A1614" t="str">
        <f>"Pumps, Channels and Transporters: Methods of Functional Analysis"</f>
        <v>Pumps, Channels and Transporters: Methods of Functional Analysis</v>
      </c>
      <c r="B1614" t="str">
        <f>"9781118858806"</f>
        <v>9781118858806</v>
      </c>
      <c r="C1614">
        <v>100</v>
      </c>
      <c r="D1614" t="str">
        <f>"USD"</f>
        <v>USD</v>
      </c>
      <c r="E1614" t="str">
        <f>"2015"</f>
        <v>2015</v>
      </c>
      <c r="F1614" t="str">
        <f>"Clarke"</f>
        <v>Clarke</v>
      </c>
      <c r="G1614" t="str">
        <f>"avanddanesh"</f>
        <v>avanddanesh</v>
      </c>
    </row>
    <row r="1615" spans="1:7" x14ac:dyDescent="0.25">
      <c r="A1615" t="str">
        <f>"Purification of Laboratory Chemicals, 8th Edition"</f>
        <v>Purification of Laboratory Chemicals, 8th Edition</v>
      </c>
      <c r="B1615" t="str">
        <f>"9780128054574"</f>
        <v>9780128054574</v>
      </c>
      <c r="C1615">
        <v>162</v>
      </c>
      <c r="D1615" t="str">
        <f>"USD"</f>
        <v>USD</v>
      </c>
      <c r="E1615" t="str">
        <f>"2017"</f>
        <v>2017</v>
      </c>
      <c r="F1615" t="str">
        <f>"Armarego"</f>
        <v>Armarego</v>
      </c>
      <c r="G1615" t="str">
        <f>"dehkadehketab"</f>
        <v>dehkadehketab</v>
      </c>
    </row>
    <row r="1616" spans="1:7" x14ac:dyDescent="0.25">
      <c r="A1616" t="str">
        <f>"Quantitative Applications of Mass Spectrometry"</f>
        <v>Quantitative Applications of Mass Spectrometry</v>
      </c>
      <c r="B1616" t="str">
        <f>"9780470025161"</f>
        <v>9780470025161</v>
      </c>
      <c r="C1616">
        <v>27</v>
      </c>
      <c r="D1616" t="str">
        <f>"USD"</f>
        <v>USD</v>
      </c>
      <c r="E1616" t="str">
        <f>"2006"</f>
        <v>2006</v>
      </c>
      <c r="F1616" t="str">
        <f>"Traldi-Chemistry"</f>
        <v>Traldi-Chemistry</v>
      </c>
      <c r="G1616" t="str">
        <f>"safirketab"</f>
        <v>safirketab</v>
      </c>
    </row>
    <row r="1617" spans="1:7" x14ac:dyDescent="0.25">
      <c r="A1617" t="str">
        <f>"Quantitative Chemical Analysis; 9th Edition"</f>
        <v>Quantitative Chemical Analysis; 9th Edition</v>
      </c>
      <c r="B1617" t="str">
        <f>"9781319154141"</f>
        <v>9781319154141</v>
      </c>
      <c r="C1617">
        <v>62.4</v>
      </c>
      <c r="D1617" t="str">
        <f>"EUR"</f>
        <v>EUR</v>
      </c>
      <c r="E1617" t="str">
        <f>"2016"</f>
        <v>2016</v>
      </c>
      <c r="F1617" t="str">
        <f>"DANIEL C. HARRIS"</f>
        <v>DANIEL C. HARRIS</v>
      </c>
      <c r="G1617" t="str">
        <f>"arzinbooks"</f>
        <v>arzinbooks</v>
      </c>
    </row>
    <row r="1618" spans="1:7" x14ac:dyDescent="0.25">
      <c r="A1618" t="str">
        <f>"Quantitative In Silico Chromatography: Computational Modelling of Molecular Interactions"</f>
        <v>Quantitative In Silico Chromatography: Computational Modelling of Molecular Interactions</v>
      </c>
      <c r="B1618" t="str">
        <f>"9781849739917"</f>
        <v>9781849739917</v>
      </c>
      <c r="C1618">
        <v>79.8</v>
      </c>
      <c r="D1618" t="str">
        <f>"GBP"</f>
        <v>GBP</v>
      </c>
      <c r="E1618" t="str">
        <f>"2014"</f>
        <v>2014</v>
      </c>
      <c r="F1618" t="str">
        <f>"Toshihiko HanaiÂ Roge"</f>
        <v>Toshihiko HanaiÂ Roge</v>
      </c>
      <c r="G1618" t="str">
        <f>"arzinbooks"</f>
        <v>arzinbooks</v>
      </c>
    </row>
    <row r="1619" spans="1:7" x14ac:dyDescent="0.25">
      <c r="A1619" t="str">
        <f>"Quantitative Microbial Risk Assessment,2e"</f>
        <v>Quantitative Microbial Risk Assessment,2e</v>
      </c>
      <c r="B1619" t="str">
        <f>"9781118145296"</f>
        <v>9781118145296</v>
      </c>
      <c r="C1619">
        <v>100.5</v>
      </c>
      <c r="D1619" t="str">
        <f>"USD"</f>
        <v>USD</v>
      </c>
      <c r="E1619" t="str">
        <f>"2014"</f>
        <v>2014</v>
      </c>
      <c r="F1619" t="str">
        <f>"Haas"</f>
        <v>Haas</v>
      </c>
      <c r="G1619" t="str">
        <f>"avanddanesh"</f>
        <v>avanddanesh</v>
      </c>
    </row>
    <row r="1620" spans="1:7" x14ac:dyDescent="0.25">
      <c r="A1620" t="str">
        <f>"Quantitative Proteomics : New Developments in Mass Spectrometry"</f>
        <v>Quantitative Proteomics : New Developments in Mass Spectrometry</v>
      </c>
      <c r="B1620" t="str">
        <f>"9781849738088"</f>
        <v>9781849738088</v>
      </c>
      <c r="C1620">
        <v>90.8</v>
      </c>
      <c r="D1620" t="str">
        <f>"GBP"</f>
        <v>GBP</v>
      </c>
      <c r="E1620" t="str">
        <f>"2014"</f>
        <v>2014</v>
      </c>
      <c r="F1620" t="str">
        <f>"Claire E Eyers(Edito"</f>
        <v>Claire E Eyers(Edito</v>
      </c>
      <c r="G1620" t="str">
        <f>"arzinbooks"</f>
        <v>arzinbooks</v>
      </c>
    </row>
    <row r="1621" spans="1:7" x14ac:dyDescent="0.25">
      <c r="A1621" t="str">
        <f>"Quantum Biochemistry"</f>
        <v>Quantum Biochemistry</v>
      </c>
      <c r="B1621" t="str">
        <f>"9783527323227"</f>
        <v>9783527323227</v>
      </c>
      <c r="C1621">
        <v>171.2</v>
      </c>
      <c r="D1621" t="str">
        <f>"USD"</f>
        <v>USD</v>
      </c>
      <c r="E1621" t="str">
        <f>"2010"</f>
        <v>2010</v>
      </c>
      <c r="F1621" t="str">
        <f>"Matta"</f>
        <v>Matta</v>
      </c>
      <c r="G1621" t="str">
        <f>"safirketab"</f>
        <v>safirketab</v>
      </c>
    </row>
    <row r="1622" spans="1:7" x14ac:dyDescent="0.25">
      <c r="A1622" t="str">
        <f>"Quantum Biochemistry 2V Set"</f>
        <v>Quantum Biochemistry 2V Set</v>
      </c>
      <c r="B1622" t="str">
        <f>"9783527323227"</f>
        <v>9783527323227</v>
      </c>
      <c r="C1622">
        <v>171.2</v>
      </c>
      <c r="D1622" t="str">
        <f>"USD"</f>
        <v>USD</v>
      </c>
      <c r="E1622" t="str">
        <f>"2010"</f>
        <v>2010</v>
      </c>
      <c r="F1622" t="str">
        <f>"Matta"</f>
        <v>Matta</v>
      </c>
      <c r="G1622" t="str">
        <f>"avanddanesh"</f>
        <v>avanddanesh</v>
      </c>
    </row>
    <row r="1623" spans="1:7" x14ac:dyDescent="0.25">
      <c r="A1623" t="str">
        <f>"Quantum Computational Chemistry: Modelling and Calculation for Functional Materials"</f>
        <v>Quantum Computational Chemistry: Modelling and Calculation for Functional Materials</v>
      </c>
      <c r="B1623" t="str">
        <f>"9789811059322"</f>
        <v>9789811059322</v>
      </c>
      <c r="C1623">
        <v>125.99</v>
      </c>
      <c r="D1623" t="str">
        <f>"EUR"</f>
        <v>EUR</v>
      </c>
      <c r="E1623" t="str">
        <f>"2018"</f>
        <v>2018</v>
      </c>
      <c r="F1623" t="str">
        <f>"Onishi"</f>
        <v>Onishi</v>
      </c>
      <c r="G1623" t="str">
        <f>"negarestanabi"</f>
        <v>negarestanabi</v>
      </c>
    </row>
    <row r="1624" spans="1:7" x14ac:dyDescent="0.25">
      <c r="A1624" t="str">
        <f>"Quantum Modeling of Complex Molecular Systems"</f>
        <v>Quantum Modeling of Complex Molecular Systems</v>
      </c>
      <c r="B1624" t="str">
        <f>"9783319216256"</f>
        <v>9783319216256</v>
      </c>
      <c r="C1624">
        <v>179.99</v>
      </c>
      <c r="D1624" t="str">
        <f>"EUR"</f>
        <v>EUR</v>
      </c>
      <c r="E1624" t="str">
        <f>"2015"</f>
        <v>2015</v>
      </c>
      <c r="F1624" t="str">
        <f>"Rivail"</f>
        <v>Rivail</v>
      </c>
      <c r="G1624" t="str">
        <f>"negarestanabi"</f>
        <v>negarestanabi</v>
      </c>
    </row>
    <row r="1625" spans="1:7" x14ac:dyDescent="0.25">
      <c r="A1625" t="str">
        <f>"Quantum Oscillators"</f>
        <v>Quantum Oscillators</v>
      </c>
      <c r="B1625" t="str">
        <f>"9780470466094"</f>
        <v>9780470466094</v>
      </c>
      <c r="C1625">
        <v>68.400000000000006</v>
      </c>
      <c r="D1625" t="str">
        <f t="shared" ref="D1625:D1640" si="105">"USD"</f>
        <v>USD</v>
      </c>
      <c r="E1625" t="str">
        <f>"2011"</f>
        <v>2011</v>
      </c>
      <c r="F1625" t="str">
        <f>"Blaise"</f>
        <v>Blaise</v>
      </c>
      <c r="G1625" t="str">
        <f>"avanddanesh"</f>
        <v>avanddanesh</v>
      </c>
    </row>
    <row r="1626" spans="1:7" x14ac:dyDescent="0.25">
      <c r="A1626" t="str">
        <f>"Quantum Theory of Atoms in Molecules: From Solid State to DNA and Drug Design"</f>
        <v>Quantum Theory of Atoms in Molecules: From Solid State to DNA and Drug Design</v>
      </c>
      <c r="B1626" t="str">
        <f>"9783527307487"</f>
        <v>9783527307487</v>
      </c>
      <c r="C1626">
        <v>177</v>
      </c>
      <c r="D1626" t="str">
        <f t="shared" si="105"/>
        <v>USD</v>
      </c>
      <c r="E1626" t="str">
        <f>"2007"</f>
        <v>2007</v>
      </c>
      <c r="F1626" t="str">
        <f>"Matta-Chemistry"</f>
        <v>Matta-Chemistry</v>
      </c>
      <c r="G1626" t="str">
        <f>"safirketab"</f>
        <v>safirketab</v>
      </c>
    </row>
    <row r="1627" spans="1:7" x14ac:dyDescent="0.25">
      <c r="A1627" t="str">
        <f>"Quest for Ultra Performance in Liquid Chromatography: Origins of UPLC Technology"</f>
        <v>Quest for Ultra Performance in Liquid Chromatography: Origins of UPLC Technology</v>
      </c>
      <c r="B1627" t="str">
        <f>"9781879732056"</f>
        <v>9781879732056</v>
      </c>
      <c r="C1627">
        <v>38.200000000000003</v>
      </c>
      <c r="D1627" t="str">
        <f t="shared" si="105"/>
        <v>USD</v>
      </c>
      <c r="E1627" t="str">
        <f>"2014"</f>
        <v>2014</v>
      </c>
      <c r="F1627" t="str">
        <f>"Waters"</f>
        <v>Waters</v>
      </c>
      <c r="G1627" t="str">
        <f>"avanddanesh"</f>
        <v>avanddanesh</v>
      </c>
    </row>
    <row r="1628" spans="1:7" x14ac:dyDescent="0.25">
      <c r="A1628" t="str">
        <f>"Quick Selection Guide to Chemical Protective Clothing,6e"</f>
        <v>Quick Selection Guide to Chemical Protective Clothing,6e</v>
      </c>
      <c r="B1628" t="str">
        <f>"9781118567708"</f>
        <v>9781118567708</v>
      </c>
      <c r="C1628">
        <v>42.7</v>
      </c>
      <c r="D1628" t="str">
        <f t="shared" si="105"/>
        <v>USD</v>
      </c>
      <c r="E1628" t="str">
        <f>"2014"</f>
        <v>2014</v>
      </c>
      <c r="F1628" t="str">
        <f>"Forsberg"</f>
        <v>Forsberg</v>
      </c>
      <c r="G1628" t="str">
        <f>"avanddanesh"</f>
        <v>avanddanesh</v>
      </c>
    </row>
    <row r="1629" spans="1:7" x14ac:dyDescent="0.25">
      <c r="A1629" t="str">
        <f>"Quinone Methides"</f>
        <v>Quinone Methides</v>
      </c>
      <c r="B1629" t="str">
        <f>"9780470192245"</f>
        <v>9780470192245</v>
      </c>
      <c r="C1629">
        <v>62</v>
      </c>
      <c r="D1629" t="str">
        <f t="shared" si="105"/>
        <v>USD</v>
      </c>
      <c r="E1629" t="str">
        <f>"2009"</f>
        <v>2009</v>
      </c>
      <c r="F1629" t="str">
        <f>"Rokita"</f>
        <v>Rokita</v>
      </c>
      <c r="G1629" t="str">
        <f>"avanddanesh"</f>
        <v>avanddanesh</v>
      </c>
    </row>
    <row r="1630" spans="1:7" x14ac:dyDescent="0.25">
      <c r="A1630" t="str">
        <f>"Quinone Methides"</f>
        <v>Quinone Methides</v>
      </c>
      <c r="B1630" t="str">
        <f>"9780470192245"</f>
        <v>9780470192245</v>
      </c>
      <c r="C1630">
        <v>62</v>
      </c>
      <c r="D1630" t="str">
        <f t="shared" si="105"/>
        <v>USD</v>
      </c>
      <c r="E1630" t="str">
        <f>"2009"</f>
        <v>2009</v>
      </c>
      <c r="F1630" t="str">
        <f>"Rokita"</f>
        <v>Rokita</v>
      </c>
      <c r="G1630" t="str">
        <f>"safirketab"</f>
        <v>safirketab</v>
      </c>
    </row>
    <row r="1631" spans="1:7" x14ac:dyDescent="0.25">
      <c r="A1631" t="str">
        <f>"Radiation Safety Problems in the Caspian Region"</f>
        <v>Radiation Safety Problems in the Caspian Region</v>
      </c>
      <c r="B1631" t="str">
        <f>"9781402023774"</f>
        <v>9781402023774</v>
      </c>
      <c r="C1631">
        <v>39.42</v>
      </c>
      <c r="D1631" t="str">
        <f t="shared" si="105"/>
        <v>USD</v>
      </c>
      <c r="E1631" t="str">
        <f>"2004"</f>
        <v>2004</v>
      </c>
      <c r="F1631" t="str">
        <f>"Zaidi,M.K.(Eds)"</f>
        <v>Zaidi,M.K.(Eds)</v>
      </c>
      <c r="G1631" t="str">
        <f>"safirketab"</f>
        <v>safirketab</v>
      </c>
    </row>
    <row r="1632" spans="1:7" x14ac:dyDescent="0.25">
      <c r="A1632" t="str">
        <f>"Radiation Safety:Protection and Management for Homeland Security and Emergency Response"</f>
        <v>Radiation Safety:Protection and Management for Homeland Security and Emergency Response</v>
      </c>
      <c r="B1632" t="str">
        <f>"9780471793335"</f>
        <v>9780471793335</v>
      </c>
      <c r="C1632">
        <v>59.96</v>
      </c>
      <c r="D1632" t="str">
        <f t="shared" si="105"/>
        <v>USD</v>
      </c>
      <c r="E1632" t="str">
        <f>"2009"</f>
        <v>2009</v>
      </c>
      <c r="F1632" t="str">
        <f>"Burchfield"</f>
        <v>Burchfield</v>
      </c>
      <c r="G1632" t="str">
        <f>"safirketab"</f>
        <v>safirketab</v>
      </c>
    </row>
    <row r="1633" spans="1:7" x14ac:dyDescent="0.25">
      <c r="A1633" t="str">
        <f>"Radical and Radical Ion Reactivity in Nucleic Acid Chemistry"</f>
        <v>Radical and Radical Ion Reactivity in Nucleic Acid Chemistry</v>
      </c>
      <c r="B1633" t="str">
        <f>"9780470255582"</f>
        <v>9780470255582</v>
      </c>
      <c r="C1633">
        <v>93.75</v>
      </c>
      <c r="D1633" t="str">
        <f t="shared" si="105"/>
        <v>USD</v>
      </c>
      <c r="E1633" t="str">
        <f>"2009"</f>
        <v>2009</v>
      </c>
      <c r="F1633" t="str">
        <f>"Greenberg"</f>
        <v>Greenberg</v>
      </c>
      <c r="G1633" t="str">
        <f>"safirketab"</f>
        <v>safirketab</v>
      </c>
    </row>
    <row r="1634" spans="1:7" x14ac:dyDescent="0.25">
      <c r="A1634" t="str">
        <f>"Radioactivity, Introduction and History, From the Quantum to Quarks, 2nd Edition"</f>
        <v>Radioactivity, Introduction and History, From the Quantum to Quarks, 2nd Edition</v>
      </c>
      <c r="B1634" t="str">
        <f>"9780444634894"</f>
        <v>9780444634894</v>
      </c>
      <c r="C1634">
        <v>225</v>
      </c>
      <c r="D1634" t="str">
        <f t="shared" si="105"/>
        <v>USD</v>
      </c>
      <c r="E1634" t="str">
        <f>"2016"</f>
        <v>2016</v>
      </c>
      <c r="F1634" t="str">
        <f>"L'Annunziata"</f>
        <v>L'Annunziata</v>
      </c>
      <c r="G1634" t="str">
        <f>"arang"</f>
        <v>arang</v>
      </c>
    </row>
    <row r="1635" spans="1:7" x14ac:dyDescent="0.25">
      <c r="A1635" t="str">
        <f>"Radionuclides in the Environment"</f>
        <v>Radionuclides in the Environment</v>
      </c>
      <c r="B1635" t="str">
        <f>"9780470714348"</f>
        <v>9780470714348</v>
      </c>
      <c r="C1635">
        <v>80</v>
      </c>
      <c r="D1635" t="str">
        <f t="shared" si="105"/>
        <v>USD</v>
      </c>
      <c r="E1635" t="str">
        <f>"2010"</f>
        <v>2010</v>
      </c>
      <c r="F1635" t="str">
        <f>"Atwood"</f>
        <v>Atwood</v>
      </c>
      <c r="G1635" t="str">
        <f>"safirketab"</f>
        <v>safirketab</v>
      </c>
    </row>
    <row r="1636" spans="1:7" x14ac:dyDescent="0.25">
      <c r="A1636" t="str">
        <f>"Radionuclides in the Environment"</f>
        <v>Radionuclides in the Environment</v>
      </c>
      <c r="B1636" t="str">
        <f>"9780470714348"</f>
        <v>9780470714348</v>
      </c>
      <c r="C1636">
        <v>80</v>
      </c>
      <c r="D1636" t="str">
        <f t="shared" si="105"/>
        <v>USD</v>
      </c>
      <c r="E1636" t="str">
        <f>"2010"</f>
        <v>2010</v>
      </c>
      <c r="F1636" t="str">
        <f>"Atwood"</f>
        <v>Atwood</v>
      </c>
      <c r="G1636" t="str">
        <f>"avanddanesh"</f>
        <v>avanddanesh</v>
      </c>
    </row>
    <row r="1637" spans="1:7" x14ac:dyDescent="0.25">
      <c r="A1637" t="str">
        <f>"Raman Spectroscopy for Soft Matter Applications"</f>
        <v>Raman Spectroscopy for Soft Matter Applications</v>
      </c>
      <c r="B1637" t="str">
        <f>"9780470453834"</f>
        <v>9780470453834</v>
      </c>
      <c r="C1637">
        <v>84.41</v>
      </c>
      <c r="D1637" t="str">
        <f t="shared" si="105"/>
        <v>USD</v>
      </c>
      <c r="E1637" t="str">
        <f>"2009"</f>
        <v>2009</v>
      </c>
      <c r="F1637" t="str">
        <f>"Amer"</f>
        <v>Amer</v>
      </c>
      <c r="G1637" t="str">
        <f>"safirketab"</f>
        <v>safirketab</v>
      </c>
    </row>
    <row r="1638" spans="1:7" x14ac:dyDescent="0.25">
      <c r="A1638" t="str">
        <f>"Rapid-Equilibrium Enzyme Kinetics: Applications of Mathematica"</f>
        <v>Rapid-Equilibrium Enzyme Kinetics: Applications of Mathematica</v>
      </c>
      <c r="B1638" t="str">
        <f>"9780470639320"</f>
        <v>9780470639320</v>
      </c>
      <c r="C1638">
        <v>72.8</v>
      </c>
      <c r="D1638" t="str">
        <f t="shared" si="105"/>
        <v>USD</v>
      </c>
      <c r="E1638" t="str">
        <f>"2011"</f>
        <v>2011</v>
      </c>
      <c r="F1638" t="str">
        <f>"Alberty"</f>
        <v>Alberty</v>
      </c>
      <c r="G1638" t="str">
        <f>"avanddanesh"</f>
        <v>avanddanesh</v>
      </c>
    </row>
    <row r="1639" spans="1:7" x14ac:dyDescent="0.25">
      <c r="A1639" t="str">
        <f>"Rare Earth Coordination Chemistry: Fundamentals and Applications"</f>
        <v>Rare Earth Coordination Chemistry: Fundamentals and Applications</v>
      </c>
      <c r="B1639" t="str">
        <f>"9780470824856"</f>
        <v>9780470824856</v>
      </c>
      <c r="C1639">
        <v>169.05</v>
      </c>
      <c r="D1639" t="str">
        <f t="shared" si="105"/>
        <v>USD</v>
      </c>
      <c r="E1639" t="str">
        <f>"2010"</f>
        <v>2010</v>
      </c>
      <c r="F1639" t="str">
        <f>"Huang"</f>
        <v>Huang</v>
      </c>
      <c r="G1639" t="str">
        <f>"safirketab"</f>
        <v>safirketab</v>
      </c>
    </row>
    <row r="1640" spans="1:7" x14ac:dyDescent="0.25">
      <c r="A1640" t="str">
        <f>"Rare Earth-Based Corrosion Inhibitors"</f>
        <v>Rare Earth-Based Corrosion Inhibitors</v>
      </c>
      <c r="B1640" t="str">
        <f>"9780081015148"</f>
        <v>9780081015148</v>
      </c>
      <c r="C1640">
        <v>193.5</v>
      </c>
      <c r="D1640" t="str">
        <f t="shared" si="105"/>
        <v>USD</v>
      </c>
      <c r="E1640" t="str">
        <f>"2017"</f>
        <v>2017</v>
      </c>
      <c r="F1640" t="str">
        <f>"Forsyth and Hinton"</f>
        <v>Forsyth and Hinton</v>
      </c>
      <c r="G1640" t="str">
        <f>"dehkadehketab"</f>
        <v>dehkadehketab</v>
      </c>
    </row>
    <row r="1641" spans="1:7" x14ac:dyDescent="0.25">
      <c r="A1641" t="str">
        <f>"Reaction Mechanisms in Carbon Dioxide Conversion"</f>
        <v>Reaction Mechanisms in Carbon Dioxide Conversion</v>
      </c>
      <c r="B1641" t="str">
        <f>"9783662468302"</f>
        <v>9783662468302</v>
      </c>
      <c r="C1641">
        <v>107.99</v>
      </c>
      <c r="D1641" t="str">
        <f>"EUR"</f>
        <v>EUR</v>
      </c>
      <c r="E1641" t="str">
        <f>"2016"</f>
        <v>2016</v>
      </c>
      <c r="F1641" t="str">
        <f>"Aresta"</f>
        <v>Aresta</v>
      </c>
      <c r="G1641" t="str">
        <f>"negarestanabi"</f>
        <v>negarestanabi</v>
      </c>
    </row>
    <row r="1642" spans="1:7" x14ac:dyDescent="0.25">
      <c r="A1642" t="str">
        <f>"Reactions and Syntheses: in the Organic Laboratory,2e"</f>
        <v>Reactions and Syntheses: in the Organic Laboratory,2e</v>
      </c>
      <c r="B1642" t="str">
        <f>"9783527338146"</f>
        <v>9783527338146</v>
      </c>
      <c r="C1642">
        <v>88</v>
      </c>
      <c r="D1642" t="str">
        <f t="shared" ref="D1642:D1647" si="106">"USD"</f>
        <v>USD</v>
      </c>
      <c r="E1642" t="str">
        <f>"2015"</f>
        <v>2015</v>
      </c>
      <c r="F1642" t="str">
        <f>"Tietze"</f>
        <v>Tietze</v>
      </c>
      <c r="G1642" t="str">
        <f>"avanddanesh"</f>
        <v>avanddanesh</v>
      </c>
    </row>
    <row r="1643" spans="1:7" x14ac:dyDescent="0.25">
      <c r="A1643" t="str">
        <f>"Reactions at Solid Surfaces"</f>
        <v>Reactions at Solid Surfaces</v>
      </c>
      <c r="B1643" t="str">
        <f>"9780470261019"</f>
        <v>9780470261019</v>
      </c>
      <c r="C1643">
        <v>59.2</v>
      </c>
      <c r="D1643" t="str">
        <f t="shared" si="106"/>
        <v>USD</v>
      </c>
      <c r="E1643" t="str">
        <f>"2009"</f>
        <v>2009</v>
      </c>
      <c r="F1643" t="str">
        <f>"Ertl"</f>
        <v>Ertl</v>
      </c>
      <c r="G1643" t="str">
        <f>"safirketab"</f>
        <v>safirketab</v>
      </c>
    </row>
    <row r="1644" spans="1:7" x14ac:dyDescent="0.25">
      <c r="A1644" t="str">
        <f>"Reactive Intermediates in Organic Chemistry: Structure, Mechanism and Reactions"</f>
        <v>Reactive Intermediates in Organic Chemistry: Structure, Mechanism and Reactions</v>
      </c>
      <c r="B1644" t="str">
        <f>"9783527335947"</f>
        <v>9783527335947</v>
      </c>
      <c r="C1644">
        <v>64.5</v>
      </c>
      <c r="D1644" t="str">
        <f t="shared" si="106"/>
        <v>USD</v>
      </c>
      <c r="E1644" t="str">
        <f>"2014"</f>
        <v>2014</v>
      </c>
      <c r="F1644" t="str">
        <f>"Singh"</f>
        <v>Singh</v>
      </c>
      <c r="G1644" t="str">
        <f>"avanddanesh"</f>
        <v>avanddanesh</v>
      </c>
    </row>
    <row r="1645" spans="1:7" x14ac:dyDescent="0.25">
      <c r="A1645" t="str">
        <f>"Reagents for Radical and Radical Ion Chemistry"</f>
        <v>Reagents for Radical and Radical Ion Chemistry</v>
      </c>
      <c r="B1645" t="str">
        <f>"9780470065365"</f>
        <v>9780470065365</v>
      </c>
      <c r="C1645">
        <v>72</v>
      </c>
      <c r="D1645" t="str">
        <f t="shared" si="106"/>
        <v>USD</v>
      </c>
      <c r="E1645" t="str">
        <f>"2008"</f>
        <v>2008</v>
      </c>
      <c r="F1645" t="str">
        <f>"Crich"</f>
        <v>Crich</v>
      </c>
      <c r="G1645" t="str">
        <f>"avanddanesh"</f>
        <v>avanddanesh</v>
      </c>
    </row>
    <row r="1646" spans="1:7" x14ac:dyDescent="0.25">
      <c r="A1646" t="str">
        <f>"Recent Advances in the Theory of Chemical and Physical Systems"</f>
        <v>Recent Advances in the Theory of Chemical and Physical Systems</v>
      </c>
      <c r="B1646" t="str">
        <f>"9781402045271"</f>
        <v>9781402045271</v>
      </c>
      <c r="C1646">
        <v>112</v>
      </c>
      <c r="D1646" t="str">
        <f t="shared" si="106"/>
        <v>USD</v>
      </c>
      <c r="E1646" t="str">
        <f>"2006"</f>
        <v>2006</v>
      </c>
      <c r="F1646" t="str">
        <f>"Julien,J.-P.(Ed)"</f>
        <v>Julien,J.-P.(Ed)</v>
      </c>
      <c r="G1646" t="str">
        <f>"safirketab"</f>
        <v>safirketab</v>
      </c>
    </row>
    <row r="1647" spans="1:7" x14ac:dyDescent="0.25">
      <c r="A1647" t="str">
        <f>"Recent Developments in Cavitation Mechanisms, A Guide for Scientists and Engineers"</f>
        <v>Recent Developments in Cavitation Mechanisms, A Guide for Scientists and Engineers</v>
      </c>
      <c r="B1647" t="str">
        <f>"9780081015315"</f>
        <v>9780081015315</v>
      </c>
      <c r="C1647">
        <v>180</v>
      </c>
      <c r="D1647" t="str">
        <f t="shared" si="106"/>
        <v>USD</v>
      </c>
      <c r="E1647" t="str">
        <f>"2017"</f>
        <v>2017</v>
      </c>
      <c r="F1647" t="str">
        <f>"Washio"</f>
        <v>Washio</v>
      </c>
      <c r="G1647" t="str">
        <f>"dehkadehketab"</f>
        <v>dehkadehketab</v>
      </c>
    </row>
    <row r="1648" spans="1:7" x14ac:dyDescent="0.25">
      <c r="A1648" t="str">
        <f>"Recent Discoveries In Inorganic ChemistryÂ "</f>
        <v>Recent Discoveries In Inorganic ChemistryÂ </v>
      </c>
      <c r="B1648" t="str">
        <f>"9781316633366"</f>
        <v>9781316633366</v>
      </c>
      <c r="C1648">
        <v>21.3</v>
      </c>
      <c r="D1648" t="str">
        <f>"GBP"</f>
        <v>GBP</v>
      </c>
      <c r="E1648" t="str">
        <f>"2017"</f>
        <v>2017</v>
      </c>
      <c r="F1648" t="str">
        <f>"J. Hart-Smith"</f>
        <v>J. Hart-Smith</v>
      </c>
      <c r="G1648" t="str">
        <f>"arzinbooks"</f>
        <v>arzinbooks</v>
      </c>
    </row>
    <row r="1649" spans="1:7" x14ac:dyDescent="0.25">
      <c r="A1649" t="str">
        <f>"RECENT TRENDS IN SURFACE AND COLLOID SCIENCE"</f>
        <v>RECENT TRENDS IN SURFACE AND COLLOID SCIENCE</v>
      </c>
      <c r="B1649" t="str">
        <f>"9789814299411"</f>
        <v>9789814299411</v>
      </c>
      <c r="C1649">
        <v>67.2</v>
      </c>
      <c r="D1649" t="str">
        <f>"GBP"</f>
        <v>GBP</v>
      </c>
      <c r="E1649" t="str">
        <f>"2012"</f>
        <v>2012</v>
      </c>
      <c r="F1649" t="str">
        <f>"PAUL BIDYUT K ET AL"</f>
        <v>PAUL BIDYUT K ET AL</v>
      </c>
      <c r="G1649" t="str">
        <f>"AsarBartar"</f>
        <v>AsarBartar</v>
      </c>
    </row>
    <row r="1650" spans="1:7" x14ac:dyDescent="0.25">
      <c r="A1650" t="str">
        <f>"RECHENTAFELN FUR DIE CHEMISCHE ANALYTIK"</f>
        <v>RECHENTAFELN FUR DIE CHEMISCHE ANALYTIK</v>
      </c>
      <c r="B1650" t="str">
        <f>"9783110229622"</f>
        <v>9783110229622</v>
      </c>
      <c r="C1650">
        <v>10.48</v>
      </c>
      <c r="D1650" t="str">
        <f>"EUR"</f>
        <v>EUR</v>
      </c>
      <c r="E1650" t="str">
        <f>"2011"</f>
        <v>2011</v>
      </c>
      <c r="F1650" t="str">
        <f>"F W KUSTER"</f>
        <v>F W KUSTER</v>
      </c>
      <c r="G1650" t="str">
        <f>"AsarBartar"</f>
        <v>AsarBartar</v>
      </c>
    </row>
    <row r="1651" spans="1:7" x14ac:dyDescent="0.25">
      <c r="A1651" t="str">
        <f>"Recrystallization and Related Annealing Phenomena, 3rd Edition"</f>
        <v>Recrystallization and Related Annealing Phenomena, 3rd Edition</v>
      </c>
      <c r="B1651" t="str">
        <f>"9780080438481"</f>
        <v>9780080438481</v>
      </c>
      <c r="C1651">
        <v>202.5</v>
      </c>
      <c r="D1651" t="str">
        <f>"USD"</f>
        <v>USD</v>
      </c>
      <c r="E1651" t="str">
        <f>"2017"</f>
        <v>2017</v>
      </c>
      <c r="F1651" t="str">
        <f>"Rollett and Rohrer"</f>
        <v>Rollett and Rohrer</v>
      </c>
      <c r="G1651" t="str">
        <f>"dehkadehketab"</f>
        <v>dehkadehketab</v>
      </c>
    </row>
    <row r="1652" spans="1:7" x14ac:dyDescent="0.25">
      <c r="A1652" t="str">
        <f>"Redox Biocatalysis: Fundamentals and Applications"</f>
        <v>Redox Biocatalysis: Fundamentals and Applications</v>
      </c>
      <c r="B1652" t="str">
        <f>"9780470874202"</f>
        <v>9780470874202</v>
      </c>
      <c r="C1652">
        <v>99</v>
      </c>
      <c r="D1652" t="str">
        <f>"USD"</f>
        <v>USD</v>
      </c>
      <c r="E1652" t="str">
        <f>"2012"</f>
        <v>2012</v>
      </c>
      <c r="F1652" t="str">
        <f>"Gamenara"</f>
        <v>Gamenara</v>
      </c>
      <c r="G1652" t="str">
        <f>"avanddanesh"</f>
        <v>avanddanesh</v>
      </c>
    </row>
    <row r="1653" spans="1:7" x14ac:dyDescent="0.25">
      <c r="A1653" t="str">
        <f>"Redox Signaling and Regulation in Biology and Medicine"</f>
        <v>Redox Signaling and Regulation in Biology and Medicine</v>
      </c>
      <c r="B1653" t="str">
        <f>"9783527319251"</f>
        <v>9783527319251</v>
      </c>
      <c r="C1653">
        <v>97.5</v>
      </c>
      <c r="D1653" t="str">
        <f>"USD"</f>
        <v>USD</v>
      </c>
      <c r="E1653" t="str">
        <f>"2009"</f>
        <v>2009</v>
      </c>
      <c r="F1653" t="str">
        <f>"Jacob"</f>
        <v>Jacob</v>
      </c>
      <c r="G1653" t="str">
        <f>"safirketab"</f>
        <v>safirketab</v>
      </c>
    </row>
    <row r="1654" spans="1:7" x14ac:dyDescent="0.25">
      <c r="A1654" t="str">
        <f>"Regulatory Toxicology: Essentially Practical Aspects"</f>
        <v>Regulatory Toxicology: Essentially Practical Aspects</v>
      </c>
      <c r="B1654" t="str">
        <f>"9788184874174"</f>
        <v>9788184874174</v>
      </c>
      <c r="C1654">
        <v>48.96</v>
      </c>
      <c r="D1654" t="str">
        <f>"GBP"</f>
        <v>GBP</v>
      </c>
      <c r="E1654" t="str">
        <f>"2016"</f>
        <v>2016</v>
      </c>
      <c r="F1654" t="str">
        <f>"Sengupta"</f>
        <v>Sengupta</v>
      </c>
      <c r="G1654" t="str">
        <f>"safirketab"</f>
        <v>safirketab</v>
      </c>
    </row>
    <row r="1655" spans="1:7" x14ac:dyDescent="0.25">
      <c r="A1655" t="str">
        <f>"Relativistic Quantum Chemistry: The Fundamental Theory of Molecular Science"</f>
        <v>Relativistic Quantum Chemistry: The Fundamental Theory of Molecular Science</v>
      </c>
      <c r="B1655" t="str">
        <f>"9783527312924"</f>
        <v>9783527312924</v>
      </c>
      <c r="C1655">
        <v>106.4</v>
      </c>
      <c r="D1655" t="str">
        <f>"USD"</f>
        <v>USD</v>
      </c>
      <c r="E1655" t="str">
        <f>"2009"</f>
        <v>2009</v>
      </c>
      <c r="F1655" t="str">
        <f>"Reiher"</f>
        <v>Reiher</v>
      </c>
      <c r="G1655" t="str">
        <f>"avanddanesh"</f>
        <v>avanddanesh</v>
      </c>
    </row>
    <row r="1656" spans="1:7" x14ac:dyDescent="0.25">
      <c r="A1656" t="str">
        <f>"Relativistic Quantum Chemistry: The Fundamental Theory of Molecular Science,2e"</f>
        <v>Relativistic Quantum Chemistry: The Fundamental Theory of Molecular Science,2e</v>
      </c>
      <c r="B1656" t="str">
        <f>"9783527334155"</f>
        <v>9783527334155</v>
      </c>
      <c r="C1656">
        <v>166.5</v>
      </c>
      <c r="D1656" t="str">
        <f>"USD"</f>
        <v>USD</v>
      </c>
      <c r="E1656" t="str">
        <f>"2014"</f>
        <v>2014</v>
      </c>
      <c r="F1656" t="str">
        <f>"Reiher"</f>
        <v>Reiher</v>
      </c>
      <c r="G1656" t="str">
        <f>"avanddanesh"</f>
        <v>avanddanesh</v>
      </c>
    </row>
    <row r="1657" spans="1:7" x14ac:dyDescent="0.25">
      <c r="A1657" t="str">
        <f>"Relativistic Quantum Chemistry:The Fundamental Theory of Molecular Science"</f>
        <v>Relativistic Quantum Chemistry:The Fundamental Theory of Molecular Science</v>
      </c>
      <c r="B1657" t="str">
        <f>"9783527312924"</f>
        <v>9783527312924</v>
      </c>
      <c r="C1657">
        <v>106.4</v>
      </c>
      <c r="D1657" t="str">
        <f>"USD"</f>
        <v>USD</v>
      </c>
      <c r="E1657" t="str">
        <f>"2009"</f>
        <v>2009</v>
      </c>
      <c r="F1657" t="str">
        <f>"Reiher"</f>
        <v>Reiher</v>
      </c>
      <c r="G1657" t="str">
        <f>"safirketab"</f>
        <v>safirketab</v>
      </c>
    </row>
    <row r="1658" spans="1:7" x14ac:dyDescent="0.25">
      <c r="A1658" t="str">
        <f>"Reliability, Maintainability and Risk, Practical Methods for Engineers, 9th Edition"</f>
        <v>Reliability, Maintainability and Risk, Practical Methods for Engineers, 9th Edition</v>
      </c>
      <c r="B1658" t="str">
        <f>"9780081020098"</f>
        <v>9780081020098</v>
      </c>
      <c r="C1658">
        <v>90</v>
      </c>
      <c r="D1658" t="str">
        <f>"USD"</f>
        <v>USD</v>
      </c>
      <c r="E1658" t="str">
        <f>"2017"</f>
        <v>2017</v>
      </c>
      <c r="F1658" t="str">
        <f>"Smith"</f>
        <v>Smith</v>
      </c>
      <c r="G1658" t="str">
        <f>"dehkadehketab"</f>
        <v>dehkadehketab</v>
      </c>
    </row>
    <row r="1659" spans="1:7" x14ac:dyDescent="0.25">
      <c r="A1659" t="str">
        <f>"Renewable Raw Materials: New Feedstocks for the Chemical Industry"</f>
        <v>Renewable Raw Materials: New Feedstocks for the Chemical Industry</v>
      </c>
      <c r="B1659" t="str">
        <f>"9783527325481"</f>
        <v>9783527325481</v>
      </c>
      <c r="C1659">
        <v>74.400000000000006</v>
      </c>
      <c r="D1659" t="str">
        <f>"USD"</f>
        <v>USD</v>
      </c>
      <c r="E1659" t="str">
        <f>"2011"</f>
        <v>2011</v>
      </c>
      <c r="F1659" t="str">
        <f>"Ulber"</f>
        <v>Ulber</v>
      </c>
      <c r="G1659" t="str">
        <f>"safirketab"</f>
        <v>safirketab</v>
      </c>
    </row>
    <row r="1660" spans="1:7" x14ac:dyDescent="0.25">
      <c r="A1660" t="str">
        <f>"Renewable Resources for Biorefineries"</f>
        <v>Renewable Resources for Biorefineries</v>
      </c>
      <c r="B1660" t="str">
        <f>"9781849738989"</f>
        <v>9781849738989</v>
      </c>
      <c r="C1660">
        <v>66</v>
      </c>
      <c r="D1660" t="str">
        <f>"GBP"</f>
        <v>GBP</v>
      </c>
      <c r="E1660" t="str">
        <f>"2014"</f>
        <v>2014</v>
      </c>
      <c r="F1660" t="str">
        <f>"Carol Lin(Editor)Â Ra"</f>
        <v>Carol Lin(Editor)Â Ra</v>
      </c>
      <c r="G1660" t="str">
        <f>"arzinbooks"</f>
        <v>arzinbooks</v>
      </c>
    </row>
    <row r="1661" spans="1:7" x14ac:dyDescent="0.25">
      <c r="A1661" t="str">
        <f>"Renewables-Based Technology: Sustainability Assessment"</f>
        <v>Renewables-Based Technology: Sustainability Assessment</v>
      </c>
      <c r="B1661" t="str">
        <f>"9780470022412"</f>
        <v>9780470022412</v>
      </c>
      <c r="C1661">
        <v>60</v>
      </c>
      <c r="D1661" t="str">
        <f>"USD"</f>
        <v>USD</v>
      </c>
      <c r="E1661" t="str">
        <f>"2006"</f>
        <v>2006</v>
      </c>
      <c r="F1661" t="str">
        <f>"Dewulf"</f>
        <v>Dewulf</v>
      </c>
      <c r="G1661" t="str">
        <f>"avanddanesh"</f>
        <v>avanddanesh</v>
      </c>
    </row>
    <row r="1662" spans="1:7" x14ac:dyDescent="0.25">
      <c r="A1662" t="str">
        <f>"REPRODUCTIVE TOXICOLOGY, THIRD EDITION"</f>
        <v>REPRODUCTIVE TOXICOLOGY, THIRD EDITION</v>
      </c>
      <c r="B1662" t="str">
        <f>"9781420073430"</f>
        <v>9781420073430</v>
      </c>
      <c r="C1662">
        <v>37.5</v>
      </c>
      <c r="D1662" t="str">
        <f>"GBP"</f>
        <v>GBP</v>
      </c>
      <c r="E1662" t="str">
        <f>"2010"</f>
        <v>2010</v>
      </c>
      <c r="F1662" t="str">
        <f>"ROCHELLE W. TYL(EDI"</f>
        <v>ROCHELLE W. TYL(EDI</v>
      </c>
      <c r="G1662" t="str">
        <f>"AsarBartar"</f>
        <v>AsarBartar</v>
      </c>
    </row>
    <row r="1663" spans="1:7" x14ac:dyDescent="0.25">
      <c r="A1663" t="str">
        <f>"REVERSIBILITY OF CHRONIC DEGENERATIVE DISEASE AND HYPER"</f>
        <v>REVERSIBILITY OF CHRONIC DEGENERATIVE DISEASE AND HYPER</v>
      </c>
      <c r="B1663" t="str">
        <f>"9781439813423"</f>
        <v>9781439813423</v>
      </c>
      <c r="C1663">
        <v>22.19</v>
      </c>
      <c r="D1663" t="str">
        <f>"GBP"</f>
        <v>GBP</v>
      </c>
      <c r="E1663" t="str">
        <f>"2010"</f>
        <v>2010</v>
      </c>
      <c r="F1663" t="str">
        <f>"REA, WILLIAM J.|"</f>
        <v>REA, WILLIAM J.|</v>
      </c>
      <c r="G1663" t="str">
        <f>"AsarBartar"</f>
        <v>AsarBartar</v>
      </c>
    </row>
    <row r="1664" spans="1:7" x14ac:dyDescent="0.25">
      <c r="A1664" t="str">
        <f>"Reversible Ligand Binding: Theory and Experiment"</f>
        <v>Reversible Ligand Binding: Theory and Experiment</v>
      </c>
      <c r="B1664" t="str">
        <f>"9781119238485"</f>
        <v>9781119238485</v>
      </c>
      <c r="C1664">
        <v>94.5</v>
      </c>
      <c r="D1664" t="str">
        <f t="shared" ref="D1664:D1674" si="107">"USD"</f>
        <v>USD</v>
      </c>
      <c r="E1664" t="str">
        <f>"2017"</f>
        <v>2017</v>
      </c>
      <c r="F1664" t="str">
        <f>"Bellelli"</f>
        <v>Bellelli</v>
      </c>
      <c r="G1664" t="str">
        <f>"avanddanesh"</f>
        <v>avanddanesh</v>
      </c>
    </row>
    <row r="1665" spans="1:7" x14ac:dyDescent="0.25">
      <c r="A1665" t="str">
        <f>"Review Of Organic Functional Groups: Introduction To Organic Medicinal Chemistry"</f>
        <v>Review Of Organic Functional Groups: Introduction To Organic Medicinal Chemistry</v>
      </c>
      <c r="B1665" t="str">
        <f>"9781608310166"</f>
        <v>9781608310166</v>
      </c>
      <c r="C1665">
        <v>31.8</v>
      </c>
      <c r="D1665" t="str">
        <f t="shared" si="107"/>
        <v>USD</v>
      </c>
      <c r="E1665" t="str">
        <f>"2012"</f>
        <v>2012</v>
      </c>
      <c r="F1665" t="str">
        <f>"Lemke"</f>
        <v>Lemke</v>
      </c>
      <c r="G1665" t="str">
        <f>"Parsian Publication"</f>
        <v>Parsian Publication</v>
      </c>
    </row>
    <row r="1666" spans="1:7" x14ac:dyDescent="0.25">
      <c r="A1666" t="str">
        <f>"Review Questions for MRI,2e"</f>
        <v>Review Questions for MRI,2e</v>
      </c>
      <c r="B1666" t="str">
        <f>"9781444333909"</f>
        <v>9781444333909</v>
      </c>
      <c r="C1666">
        <v>32.5</v>
      </c>
      <c r="D1666" t="str">
        <f t="shared" si="107"/>
        <v>USD</v>
      </c>
      <c r="E1666" t="str">
        <f>"2013"</f>
        <v>2013</v>
      </c>
      <c r="F1666" t="str">
        <f>"Kaut Roth"</f>
        <v>Kaut Roth</v>
      </c>
      <c r="G1666" t="str">
        <f>"avanddanesh"</f>
        <v>avanddanesh</v>
      </c>
    </row>
    <row r="1667" spans="1:7" x14ac:dyDescent="0.25">
      <c r="A1667" t="str">
        <f>"Reviews in Computational Chemistry, V26"</f>
        <v>Reviews in Computational Chemistry, V26</v>
      </c>
      <c r="B1667" t="str">
        <f>"9780470388396"</f>
        <v>9780470388396</v>
      </c>
      <c r="C1667">
        <v>147.41999999999999</v>
      </c>
      <c r="D1667" t="str">
        <f t="shared" si="107"/>
        <v>USD</v>
      </c>
      <c r="E1667" t="str">
        <f>"2009"</f>
        <v>2009</v>
      </c>
      <c r="F1667" t="str">
        <f>"Lipkowitz"</f>
        <v>Lipkowitz</v>
      </c>
      <c r="G1667" t="str">
        <f>"safirketab"</f>
        <v>safirketab</v>
      </c>
    </row>
    <row r="1668" spans="1:7" x14ac:dyDescent="0.25">
      <c r="A1668" t="str">
        <f>"Reviews in Computational Chemistry, V27"</f>
        <v>Reviews in Computational Chemistry, V27</v>
      </c>
      <c r="B1668" t="str">
        <f>"9780470587140"</f>
        <v>9780470587140</v>
      </c>
      <c r="C1668">
        <v>94</v>
      </c>
      <c r="D1668" t="str">
        <f t="shared" si="107"/>
        <v>USD</v>
      </c>
      <c r="E1668" t="str">
        <f>"2011"</f>
        <v>2011</v>
      </c>
      <c r="F1668" t="str">
        <f>"Lipkowitz"</f>
        <v>Lipkowitz</v>
      </c>
      <c r="G1668" t="str">
        <f>"safirketab"</f>
        <v>safirketab</v>
      </c>
    </row>
    <row r="1669" spans="1:7" x14ac:dyDescent="0.25">
      <c r="A1669" t="str">
        <f>"Reviews in Computational Chemistry, V27"</f>
        <v>Reviews in Computational Chemistry, V27</v>
      </c>
      <c r="B1669" t="str">
        <f>"9780470587140"</f>
        <v>9780470587140</v>
      </c>
      <c r="C1669">
        <v>94</v>
      </c>
      <c r="D1669" t="str">
        <f t="shared" si="107"/>
        <v>USD</v>
      </c>
      <c r="E1669" t="str">
        <f>"2010"</f>
        <v>2010</v>
      </c>
      <c r="F1669" t="str">
        <f>"Lipkowitz"</f>
        <v>Lipkowitz</v>
      </c>
      <c r="G1669" t="str">
        <f>"avanddanesh"</f>
        <v>avanddanesh</v>
      </c>
    </row>
    <row r="1670" spans="1:7" x14ac:dyDescent="0.25">
      <c r="A1670" t="str">
        <f>"Reviews in Computational Chemistry, V30"</f>
        <v>Reviews in Computational Chemistry, V30</v>
      </c>
      <c r="B1670" t="str">
        <f>"9781119355434"</f>
        <v>9781119355434</v>
      </c>
      <c r="C1670">
        <v>265.5</v>
      </c>
      <c r="D1670" t="str">
        <f t="shared" si="107"/>
        <v>USD</v>
      </c>
      <c r="E1670" t="str">
        <f>"2017"</f>
        <v>2017</v>
      </c>
      <c r="F1670" t="str">
        <f>"Parrill"</f>
        <v>Parrill</v>
      </c>
      <c r="G1670" t="str">
        <f>"avanddanesh"</f>
        <v>avanddanesh</v>
      </c>
    </row>
    <row r="1671" spans="1:7" x14ac:dyDescent="0.25">
      <c r="A1671" t="str">
        <f>"Rheology, Concepts, Methods, and Applications, 3rd Edition"</f>
        <v>Rheology, Concepts, Methods, and Applications, 3rd Edition</v>
      </c>
      <c r="B1671" t="str">
        <f>"9781927885215"</f>
        <v>9781927885215</v>
      </c>
      <c r="C1671">
        <v>265.5</v>
      </c>
      <c r="D1671" t="str">
        <f t="shared" si="107"/>
        <v>USD</v>
      </c>
      <c r="E1671" t="str">
        <f>"2017"</f>
        <v>2017</v>
      </c>
      <c r="F1671" t="str">
        <f>"Malkin and Isayev"</f>
        <v>Malkin and Isayev</v>
      </c>
      <c r="G1671" t="str">
        <f>"dehkadehketab"</f>
        <v>dehkadehketab</v>
      </c>
    </row>
    <row r="1672" spans="1:7" x14ac:dyDescent="0.25">
      <c r="A1672" t="str">
        <f>"RNA and DNA Editing: Molecular Mechanisms and Their Integration into Biological Systems"</f>
        <v>RNA and DNA Editing: Molecular Mechanisms and Their Integration into Biological Systems</v>
      </c>
      <c r="B1672" t="str">
        <f>"9780470109915"</f>
        <v>9780470109915</v>
      </c>
      <c r="C1672">
        <v>101.4</v>
      </c>
      <c r="D1672" t="str">
        <f t="shared" si="107"/>
        <v>USD</v>
      </c>
      <c r="E1672" t="str">
        <f>"2008"</f>
        <v>2008</v>
      </c>
      <c r="F1672" t="str">
        <f>"Smith"</f>
        <v>Smith</v>
      </c>
      <c r="G1672" t="str">
        <f>"safirketab"</f>
        <v>safirketab</v>
      </c>
    </row>
    <row r="1673" spans="1:7" x14ac:dyDescent="0.25">
      <c r="A1673" t="str">
        <f>"Role of Green Chemistry in Biomass Processing and Conversion"</f>
        <v>Role of Green Chemistry in Biomass Processing and Conversion</v>
      </c>
      <c r="B1673" t="str">
        <f>"9780470644102"</f>
        <v>9780470644102</v>
      </c>
      <c r="C1673">
        <v>89</v>
      </c>
      <c r="D1673" t="str">
        <f t="shared" si="107"/>
        <v>USD</v>
      </c>
      <c r="E1673" t="str">
        <f>"2013"</f>
        <v>2013</v>
      </c>
      <c r="F1673" t="str">
        <f>"Xie"</f>
        <v>Xie</v>
      </c>
      <c r="G1673" t="str">
        <f>"avanddanesh"</f>
        <v>avanddanesh</v>
      </c>
    </row>
    <row r="1674" spans="1:7" x14ac:dyDescent="0.25">
      <c r="A1674" t="str">
        <f>"Role of Study Director in Nonclinical Studies: Pharmaceuticals, Chemicals, Medical Devices, and Pesticides"</f>
        <v>Role of Study Director in Nonclinical Studies: Pharmaceuticals, Chemicals, Medical Devices, and Pesticides</v>
      </c>
      <c r="B1674" t="str">
        <f>"9781118370391"</f>
        <v>9781118370391</v>
      </c>
      <c r="C1674">
        <v>96.8</v>
      </c>
      <c r="D1674" t="str">
        <f t="shared" si="107"/>
        <v>USD</v>
      </c>
      <c r="E1674" t="str">
        <f>"2014"</f>
        <v>2014</v>
      </c>
      <c r="F1674" t="str">
        <f>"Brock"</f>
        <v>Brock</v>
      </c>
      <c r="G1674" t="str">
        <f>"avanddanesh"</f>
        <v>avanddanesh</v>
      </c>
    </row>
    <row r="1675" spans="1:7" x14ac:dyDescent="0.25">
      <c r="A1675" t="str">
        <f>"ROLE OF THE CHEMIST IN AUTOMOTIVE DESIGN,THE"</f>
        <v>ROLE OF THE CHEMIST IN AUTOMOTIVE DESIGN,THE</v>
      </c>
      <c r="B1675" t="str">
        <f>"9781420071887"</f>
        <v>9781420071887</v>
      </c>
      <c r="C1675">
        <v>27.6</v>
      </c>
      <c r="D1675" t="str">
        <f>"GBP"</f>
        <v>GBP</v>
      </c>
      <c r="E1675" t="str">
        <f>"2009"</f>
        <v>2009</v>
      </c>
      <c r="F1675" t="str">
        <f>"H. K. PHLEGM"</f>
        <v>H. K. PHLEGM</v>
      </c>
      <c r="G1675" t="str">
        <f>"AsarBartar"</f>
        <v>AsarBartar</v>
      </c>
    </row>
    <row r="1676" spans="1:7" x14ac:dyDescent="0.25">
      <c r="A1676" t="str">
        <f>"Safety of Lithium Batteries"</f>
        <v>Safety of Lithium Batteries</v>
      </c>
      <c r="B1676" t="str">
        <f>"9780444637765"</f>
        <v>9780444637765</v>
      </c>
      <c r="C1676">
        <v>184.5</v>
      </c>
      <c r="D1676" t="str">
        <f t="shared" ref="D1676:D1682" si="108">"USD"</f>
        <v>USD</v>
      </c>
      <c r="E1676" t="str">
        <f>"2017"</f>
        <v>2017</v>
      </c>
      <c r="F1676" t="str">
        <f>"Garche, Jurgen"</f>
        <v>Garche, Jurgen</v>
      </c>
      <c r="G1676" t="str">
        <f>"dehkadehketab"</f>
        <v>dehkadehketab</v>
      </c>
    </row>
    <row r="1677" spans="1:7" x14ac:dyDescent="0.25">
      <c r="A1677" t="str">
        <f>"Sample Introduction Systems in ICP-MS and ICP-OES"</f>
        <v>Sample Introduction Systems in ICP-MS and ICP-OES</v>
      </c>
      <c r="B1677" t="str">
        <f>"9780393067545"</f>
        <v>9780393067545</v>
      </c>
      <c r="C1677">
        <v>202.5</v>
      </c>
      <c r="D1677" t="str">
        <f t="shared" si="108"/>
        <v>USD</v>
      </c>
      <c r="E1677" t="str">
        <f>"2017"</f>
        <v>2017</v>
      </c>
      <c r="F1677" t="str">
        <f>"Beauchemin"</f>
        <v>Beauchemin</v>
      </c>
      <c r="G1677" t="str">
        <f>"dehkadehketab"</f>
        <v>dehkadehketab</v>
      </c>
    </row>
    <row r="1678" spans="1:7" x14ac:dyDescent="0.25">
      <c r="A1678" t="str">
        <f>"Sampling and Analysis of Indoor Microorganisms"</f>
        <v>Sampling and Analysis of Indoor Microorganisms</v>
      </c>
      <c r="B1678" t="str">
        <f>"9780471730934"</f>
        <v>9780471730934</v>
      </c>
      <c r="C1678">
        <v>56.97</v>
      </c>
      <c r="D1678" t="str">
        <f t="shared" si="108"/>
        <v>USD</v>
      </c>
      <c r="E1678" t="str">
        <f>"2007"</f>
        <v>2007</v>
      </c>
      <c r="F1678" t="str">
        <f>"Yang"</f>
        <v>Yang</v>
      </c>
      <c r="G1678" t="str">
        <f>"safirketab"</f>
        <v>safirketab</v>
      </c>
    </row>
    <row r="1679" spans="1:7" x14ac:dyDescent="0.25">
      <c r="A1679" t="str">
        <f>"Scanning Tunneling Microscopy in Surface Science"</f>
        <v>Scanning Tunneling Microscopy in Surface Science</v>
      </c>
      <c r="B1679" t="str">
        <f>"9783527319824"</f>
        <v>9783527319824</v>
      </c>
      <c r="C1679">
        <v>80.400000000000006</v>
      </c>
      <c r="D1679" t="str">
        <f t="shared" si="108"/>
        <v>USD</v>
      </c>
      <c r="E1679" t="str">
        <f>"2009"</f>
        <v>2009</v>
      </c>
      <c r="F1679" t="str">
        <f>"Bowker"</f>
        <v>Bowker</v>
      </c>
      <c r="G1679" t="str">
        <f>"avanddanesh"</f>
        <v>avanddanesh</v>
      </c>
    </row>
    <row r="1680" spans="1:7" x14ac:dyDescent="0.25">
      <c r="A1680" t="str">
        <f>"Scattering Methods and their Application in Colloid and Interface Science"</f>
        <v>Scattering Methods and their Application in Colloid and Interface Science</v>
      </c>
      <c r="B1680" t="str">
        <f>"9780128135747"</f>
        <v>9780128135747</v>
      </c>
      <c r="C1680">
        <v>202.5</v>
      </c>
      <c r="D1680" t="str">
        <f t="shared" si="108"/>
        <v>USD</v>
      </c>
      <c r="E1680" t="str">
        <f>"2018"</f>
        <v>2018</v>
      </c>
      <c r="F1680" t="str">
        <f>"Glatter"</f>
        <v>Glatter</v>
      </c>
      <c r="G1680" t="str">
        <f>"dehkadehketab"</f>
        <v>dehkadehketab</v>
      </c>
    </row>
    <row r="1681" spans="1:7" x14ac:dyDescent="0.25">
      <c r="A1681" t="str">
        <f>"Schaum's Outline of College Chemistry"</f>
        <v>Schaum's Outline of College Chemistry</v>
      </c>
      <c r="B1681" t="str">
        <f>"9780071810821"</f>
        <v>9780071810821</v>
      </c>
      <c r="C1681">
        <v>13.2</v>
      </c>
      <c r="D1681" t="str">
        <f t="shared" si="108"/>
        <v>USD</v>
      </c>
      <c r="E1681" t="str">
        <f>"2013"</f>
        <v>2013</v>
      </c>
      <c r="F1681" t="str">
        <f>"Epstein"</f>
        <v>Epstein</v>
      </c>
      <c r="G1681" t="str">
        <f>"Parsian Publication"</f>
        <v>Parsian Publication</v>
      </c>
    </row>
    <row r="1682" spans="1:7" x14ac:dyDescent="0.25">
      <c r="A1682" t="str">
        <f>"Science of Cooking: Understanding the Biology and Chemistry Behind Food and Cooking"</f>
        <v>Science of Cooking: Understanding the Biology and Chemistry Behind Food and Cooking</v>
      </c>
      <c r="B1682" t="str">
        <f>"9781118674208"</f>
        <v>9781118674208</v>
      </c>
      <c r="C1682">
        <v>59.5</v>
      </c>
      <c r="D1682" t="str">
        <f t="shared" si="108"/>
        <v>USD</v>
      </c>
      <c r="E1682" t="str">
        <f>"2016"</f>
        <v>2016</v>
      </c>
      <c r="F1682" t="str">
        <f>"Provost"</f>
        <v>Provost</v>
      </c>
      <c r="G1682" t="str">
        <f>"avanddanesh"</f>
        <v>avanddanesh</v>
      </c>
    </row>
    <row r="1683" spans="1:7" x14ac:dyDescent="0.25">
      <c r="A1683" t="str">
        <f>"Scientific Leadership"</f>
        <v>Scientific Leadership</v>
      </c>
      <c r="B1683" t="str">
        <f>"9783110468885"</f>
        <v>9783110468885</v>
      </c>
      <c r="C1683">
        <v>26.95</v>
      </c>
      <c r="D1683" t="str">
        <f>"EUR"</f>
        <v>EUR</v>
      </c>
      <c r="E1683" t="str">
        <f>"2018"</f>
        <v>2018</v>
      </c>
      <c r="F1683" t="str">
        <f>"Niemantsverdriet, J"</f>
        <v>Niemantsverdriet, J</v>
      </c>
      <c r="G1683" t="str">
        <f>"AsarBartar"</f>
        <v>AsarBartar</v>
      </c>
    </row>
    <row r="1684" spans="1:7" x14ac:dyDescent="0.25">
      <c r="A1684" t="str">
        <f>"SCIENTIST OR ENGINEER AS AN EXPERT WITNESS (CHEMICAL IN"</f>
        <v>SCIENTIST OR ENGINEER AS AN EXPERT WITNESS (CHEMICAL IN</v>
      </c>
      <c r="B1684" t="str">
        <f>"9781420052589"</f>
        <v>9781420052589</v>
      </c>
      <c r="C1684">
        <v>18.59</v>
      </c>
      <c r="D1684" t="str">
        <f>"GBP"</f>
        <v>GBP</v>
      </c>
      <c r="E1684" t="str">
        <f>"2009"</f>
        <v>2009</v>
      </c>
      <c r="F1684" t="str">
        <f>"SPEIGHT, JAMES G|"</f>
        <v>SPEIGHT, JAMES G|</v>
      </c>
      <c r="G1684" t="str">
        <f>"AsarBartar"</f>
        <v>AsarBartar</v>
      </c>
    </row>
    <row r="1685" spans="1:7" x14ac:dyDescent="0.25">
      <c r="A1685" t="str">
        <f>"Searching for Molecular Solutions: Empirical Discovery a"</f>
        <v>Searching for Molecular Solutions: Empirical Discovery a</v>
      </c>
      <c r="B1685" t="str">
        <f>"9780470146828"</f>
        <v>9780470146828</v>
      </c>
      <c r="C1685">
        <v>59.6</v>
      </c>
      <c r="D1685" t="str">
        <f>"USD"</f>
        <v>USD</v>
      </c>
      <c r="E1685" t="str">
        <f>"2010"</f>
        <v>2010</v>
      </c>
      <c r="F1685" t="str">
        <f>"Dunn"</f>
        <v>Dunn</v>
      </c>
      <c r="G1685" t="str">
        <f>"avanddanesh"</f>
        <v>avanddanesh</v>
      </c>
    </row>
    <row r="1686" spans="1:7" x14ac:dyDescent="0.25">
      <c r="A1686" t="str">
        <f>"Searching for Molecular Solutions:Empirical Discovery and Its Future"</f>
        <v>Searching for Molecular Solutions:Empirical Discovery and Its Future</v>
      </c>
      <c r="B1686" t="str">
        <f>"9780470146828"</f>
        <v>9780470146828</v>
      </c>
      <c r="C1686">
        <v>59.6</v>
      </c>
      <c r="D1686" t="str">
        <f>"USD"</f>
        <v>USD</v>
      </c>
      <c r="E1686" t="str">
        <f>"2010"</f>
        <v>2010</v>
      </c>
      <c r="F1686" t="str">
        <f>"Dunn"</f>
        <v>Dunn</v>
      </c>
      <c r="G1686" t="str">
        <f>"safirketab"</f>
        <v>safirketab</v>
      </c>
    </row>
    <row r="1687" spans="1:7" x14ac:dyDescent="0.25">
      <c r="A1687" t="str">
        <f>"Secondary Ion Mass Spectrometry: An Introduction to Principles and Practices"</f>
        <v>Secondary Ion Mass Spectrometry: An Introduction to Principles and Practices</v>
      </c>
      <c r="B1687" t="str">
        <f>"9781118480489"</f>
        <v>9781118480489</v>
      </c>
      <c r="C1687">
        <v>100.5</v>
      </c>
      <c r="D1687" t="str">
        <f>"USD"</f>
        <v>USD</v>
      </c>
      <c r="E1687" t="str">
        <f>"2014"</f>
        <v>2014</v>
      </c>
      <c r="F1687" t="str">
        <f>"van der Heide"</f>
        <v>van der Heide</v>
      </c>
      <c r="G1687" t="str">
        <f>"avanddanesh"</f>
        <v>avanddanesh</v>
      </c>
    </row>
    <row r="1688" spans="1:7" x14ac:dyDescent="0.25">
      <c r="A1688" t="str">
        <f>"Sector Field Mass Spectrometry for Elemental and Isotopic Analysis"</f>
        <v>Sector Field Mass Spectrometry for Elemental and Isotopic Analysis</v>
      </c>
      <c r="B1688" t="str">
        <f>"9781849733922"</f>
        <v>9781849733922</v>
      </c>
      <c r="C1688">
        <v>96.3</v>
      </c>
      <c r="D1688" t="str">
        <f>"GBP"</f>
        <v>GBP</v>
      </c>
      <c r="E1688" t="str">
        <f>"2014"</f>
        <v>2014</v>
      </c>
      <c r="F1688" t="str">
        <f>"Thomas Prohaska(Edit"</f>
        <v>Thomas Prohaska(Edit</v>
      </c>
      <c r="G1688" t="str">
        <f>"arzinbooks"</f>
        <v>arzinbooks</v>
      </c>
    </row>
    <row r="1689" spans="1:7" x14ac:dyDescent="0.25">
      <c r="A1689" t="str">
        <f>"Securing Utility and Energy Infrastructures"</f>
        <v>Securing Utility and Energy Infrastructures</v>
      </c>
      <c r="B1689" t="str">
        <f>"9780471705253"</f>
        <v>9780471705253</v>
      </c>
      <c r="C1689">
        <v>56.97</v>
      </c>
      <c r="D1689" t="str">
        <f t="shared" ref="D1689:D1702" si="109">"USD"</f>
        <v>USD</v>
      </c>
      <c r="E1689" t="str">
        <f>"2006"</f>
        <v>2006</v>
      </c>
      <c r="F1689" t="str">
        <f>"Ness           "</f>
        <v xml:space="preserve">Ness           </v>
      </c>
      <c r="G1689" t="str">
        <f>"safirketab"</f>
        <v>safirketab</v>
      </c>
    </row>
    <row r="1690" spans="1:7" x14ac:dyDescent="0.25">
      <c r="A1690" t="str">
        <f>"Selective Glycosylations: Synthetic Methods and Catalysts"</f>
        <v>Selective Glycosylations: Synthetic Methods and Catalysts</v>
      </c>
      <c r="B1690" t="str">
        <f>"9783527339877"</f>
        <v>9783527339877</v>
      </c>
      <c r="C1690">
        <v>184.5</v>
      </c>
      <c r="D1690" t="str">
        <f t="shared" si="109"/>
        <v>USD</v>
      </c>
      <c r="E1690" t="str">
        <f>"2017"</f>
        <v>2017</v>
      </c>
      <c r="F1690" t="str">
        <f>"Bennett"</f>
        <v>Bennett</v>
      </c>
      <c r="G1690" t="str">
        <f>"avanddanesh"</f>
        <v>avanddanesh</v>
      </c>
    </row>
    <row r="1691" spans="1:7" x14ac:dyDescent="0.25">
      <c r="A1691" t="str">
        <f>"Self-Assembling Systems: Theory and Simulation"</f>
        <v>Self-Assembling Systems: Theory and Simulation</v>
      </c>
      <c r="B1691" t="str">
        <f>"9781119113140"</f>
        <v>9781119113140</v>
      </c>
      <c r="C1691">
        <v>123.3</v>
      </c>
      <c r="D1691" t="str">
        <f t="shared" si="109"/>
        <v>USD</v>
      </c>
      <c r="E1691" t="str">
        <f>"2016"</f>
        <v>2016</v>
      </c>
      <c r="F1691" t="str">
        <f>"Yan"</f>
        <v>Yan</v>
      </c>
      <c r="G1691" t="str">
        <f>"avanddanesh"</f>
        <v>avanddanesh</v>
      </c>
    </row>
    <row r="1692" spans="1:7" x14ac:dyDescent="0.25">
      <c r="A1692" t="str">
        <f>"Self-Assembly Processes at Interfaces, Multiscale Phenomena, Volume20"</f>
        <v>Self-Assembly Processes at Interfaces, Multiscale Phenomena, Volume20</v>
      </c>
      <c r="B1692" t="str">
        <f>"9780128018934"</f>
        <v>9780128018934</v>
      </c>
      <c r="C1692">
        <v>193.5</v>
      </c>
      <c r="D1692" t="str">
        <f t="shared" si="109"/>
        <v>USD</v>
      </c>
      <c r="E1692" t="str">
        <f>"2017"</f>
        <v>2017</v>
      </c>
      <c r="F1692" t="str">
        <f>"Ball"</f>
        <v>Ball</v>
      </c>
      <c r="G1692" t="str">
        <f>"dehkadehketab"</f>
        <v>dehkadehketab</v>
      </c>
    </row>
    <row r="1693" spans="1:7" x14ac:dyDescent="0.25">
      <c r="A1693" t="str">
        <f>"Semiconductor Photocatalysis: Principles and Applications"</f>
        <v>Semiconductor Photocatalysis: Principles and Applications</v>
      </c>
      <c r="B1693" t="str">
        <f>"9783527335534"</f>
        <v>9783527335534</v>
      </c>
      <c r="C1693">
        <v>144.80000000000001</v>
      </c>
      <c r="D1693" t="str">
        <f t="shared" si="109"/>
        <v>USD</v>
      </c>
      <c r="E1693" t="str">
        <f>"2015"</f>
        <v>2015</v>
      </c>
      <c r="F1693" t="str">
        <f>"Kisch"</f>
        <v>Kisch</v>
      </c>
      <c r="G1693" t="str">
        <f>"avanddanesh"</f>
        <v>avanddanesh</v>
      </c>
    </row>
    <row r="1694" spans="1:7" x14ac:dyDescent="0.25">
      <c r="A1694" t="str">
        <f>"Separation and Purification Technologies in Biorefineries"</f>
        <v>Separation and Purification Technologies in Biorefineries</v>
      </c>
      <c r="B1694" t="str">
        <f>"9780470977965"</f>
        <v>9780470977965</v>
      </c>
      <c r="C1694">
        <v>110.5</v>
      </c>
      <c r="D1694" t="str">
        <f t="shared" si="109"/>
        <v>USD</v>
      </c>
      <c r="E1694" t="str">
        <f>"2013"</f>
        <v>2013</v>
      </c>
      <c r="F1694" t="str">
        <f>"Ramaswamy"</f>
        <v>Ramaswamy</v>
      </c>
      <c r="G1694" t="str">
        <f>"avanddanesh"</f>
        <v>avanddanesh</v>
      </c>
    </row>
    <row r="1695" spans="1:7" x14ac:dyDescent="0.25">
      <c r="A1695" t="str">
        <f>"Separation of Enantiomers: Synthetic Methods"</f>
        <v>Separation of Enantiomers: Synthetic Methods</v>
      </c>
      <c r="B1695" t="str">
        <f>"9783527330454"</f>
        <v>9783527330454</v>
      </c>
      <c r="C1695">
        <v>135.80000000000001</v>
      </c>
      <c r="D1695" t="str">
        <f t="shared" si="109"/>
        <v>USD</v>
      </c>
      <c r="E1695" t="str">
        <f>"2014"</f>
        <v>2014</v>
      </c>
      <c r="F1695" t="str">
        <f>"Todd"</f>
        <v>Todd</v>
      </c>
      <c r="G1695" t="str">
        <f>"avanddanesh"</f>
        <v>avanddanesh</v>
      </c>
    </row>
    <row r="1696" spans="1:7" x14ac:dyDescent="0.25">
      <c r="A1696" t="str">
        <f>"Separation Science and Proteomics, Current Trends and New Approaches"</f>
        <v>Separation Science and Proteomics, Current Trends and New Approaches</v>
      </c>
      <c r="B1696" t="str">
        <f>"9780128053935"</f>
        <v>9780128053935</v>
      </c>
      <c r="C1696">
        <v>135</v>
      </c>
      <c r="D1696" t="str">
        <f t="shared" si="109"/>
        <v>USD</v>
      </c>
      <c r="E1696" t="str">
        <f>"2017"</f>
        <v>2017</v>
      </c>
      <c r="F1696" t="str">
        <f>"Stoyanov"</f>
        <v>Stoyanov</v>
      </c>
      <c r="G1696" t="str">
        <f>"dehkadehketab"</f>
        <v>dehkadehketab</v>
      </c>
    </row>
    <row r="1697" spans="1:7" x14ac:dyDescent="0.25">
      <c r="A1697" t="str">
        <f>"Sequence-Controlled Polymers"</f>
        <v>Sequence-Controlled Polymers</v>
      </c>
      <c r="B1697" t="str">
        <f>"9783527342372"</f>
        <v>9783527342372</v>
      </c>
      <c r="C1697">
        <v>207</v>
      </c>
      <c r="D1697" t="str">
        <f t="shared" si="109"/>
        <v>USD</v>
      </c>
      <c r="E1697" t="str">
        <f>"2018"</f>
        <v>2018</v>
      </c>
      <c r="F1697" t="str">
        <f>"Lutz"</f>
        <v>Lutz</v>
      </c>
      <c r="G1697" t="str">
        <f>"avanddanesh"</f>
        <v>avanddanesh</v>
      </c>
    </row>
    <row r="1698" spans="1:7" x14ac:dyDescent="0.25">
      <c r="A1698" t="str">
        <f>"Shape-Memory Polymer Device Design"</f>
        <v>Shape-Memory Polymer Device Design</v>
      </c>
      <c r="B1698" t="str">
        <f>"9780323377973"</f>
        <v>9780323377973</v>
      </c>
      <c r="C1698">
        <v>175.5</v>
      </c>
      <c r="D1698" t="str">
        <f t="shared" si="109"/>
        <v>USD</v>
      </c>
      <c r="E1698" t="str">
        <f>"2017"</f>
        <v>2017</v>
      </c>
      <c r="F1698" t="str">
        <f>"Safranski and Griffi"</f>
        <v>Safranski and Griffi</v>
      </c>
      <c r="G1698" t="str">
        <f>"dehkadehketab"</f>
        <v>dehkadehketab</v>
      </c>
    </row>
    <row r="1699" spans="1:7" x14ac:dyDescent="0.25">
      <c r="A1699" t="str">
        <f>"Silicon Quantum Integrated Circuits"</f>
        <v>Silicon Quantum Integrated Circuits</v>
      </c>
      <c r="B1699" t="str">
        <f>"9783540220503"</f>
        <v>9783540220503</v>
      </c>
      <c r="C1699">
        <v>111.42</v>
      </c>
      <c r="D1699" t="str">
        <f t="shared" si="109"/>
        <v>USD</v>
      </c>
      <c r="E1699" t="str">
        <f>"2005"</f>
        <v>2005</v>
      </c>
      <c r="F1699" t="str">
        <f>"Kasper,E."</f>
        <v>Kasper,E.</v>
      </c>
      <c r="G1699" t="str">
        <f>"safirketab"</f>
        <v>safirketab</v>
      </c>
    </row>
    <row r="1700" spans="1:7" x14ac:dyDescent="0.25">
      <c r="A1700" t="str">
        <f>"Silver in Organic Chemistry"</f>
        <v>Silver in Organic Chemistry</v>
      </c>
      <c r="B1700" t="str">
        <f>"9780470466117"</f>
        <v>9780470466117</v>
      </c>
      <c r="C1700">
        <v>92.61</v>
      </c>
      <c r="D1700" t="str">
        <f t="shared" si="109"/>
        <v>USD</v>
      </c>
      <c r="E1700" t="str">
        <f>"2010"</f>
        <v>2010</v>
      </c>
      <c r="F1700" t="str">
        <f>"Harmata"</f>
        <v>Harmata</v>
      </c>
      <c r="G1700" t="str">
        <f>"safirketab"</f>
        <v>safirketab</v>
      </c>
    </row>
    <row r="1701" spans="1:7" x14ac:dyDescent="0.25">
      <c r="A1701" t="str">
        <f>"Single Molecule Dynamics in Life Science"</f>
        <v>Single Molecule Dynamics in Life Science</v>
      </c>
      <c r="B1701" t="str">
        <f>"9783527312887"</f>
        <v>9783527312887</v>
      </c>
      <c r="C1701">
        <v>157.5</v>
      </c>
      <c r="D1701" t="str">
        <f t="shared" si="109"/>
        <v>USD</v>
      </c>
      <c r="E1701" t="str">
        <f>"2009"</f>
        <v>2009</v>
      </c>
      <c r="F1701" t="str">
        <f>"Yanagida"</f>
        <v>Yanagida</v>
      </c>
      <c r="G1701" t="str">
        <f>"safirketab"</f>
        <v>safirketab</v>
      </c>
    </row>
    <row r="1702" spans="1:7" x14ac:dyDescent="0.25">
      <c r="A1702" t="str">
        <f>"Single Particle Tracking and Single Molecule Energy Transfer"</f>
        <v>Single Particle Tracking and Single Molecule Energy Transfer</v>
      </c>
      <c r="B1702" t="str">
        <f>"9783527322961"</f>
        <v>9783527322961</v>
      </c>
      <c r="C1702">
        <v>142.5</v>
      </c>
      <c r="D1702" t="str">
        <f t="shared" si="109"/>
        <v>USD</v>
      </c>
      <c r="E1702" t="str">
        <f>"2009"</f>
        <v>2009</v>
      </c>
      <c r="F1702" t="str">
        <f>"Br?uchle"</f>
        <v>Br?uchle</v>
      </c>
      <c r="G1702" t="str">
        <f>"safirketab"</f>
        <v>safirketab</v>
      </c>
    </row>
    <row r="1703" spans="1:7" x14ac:dyDescent="0.25">
      <c r="A1703" t="str">
        <f>"Single-Molecule Electronics: An Introduction to Synthesis. Measurement and Theory"</f>
        <v>Single-Molecule Electronics: An Introduction to Synthesis. Measurement and Theory</v>
      </c>
      <c r="B1703" t="str">
        <f>"9789811007231"</f>
        <v>9789811007231</v>
      </c>
      <c r="C1703">
        <v>98.99</v>
      </c>
      <c r="D1703" t="str">
        <f>"EUR"</f>
        <v>EUR</v>
      </c>
      <c r="E1703" t="str">
        <f>"2016"</f>
        <v>2016</v>
      </c>
      <c r="F1703" t="str">
        <f>"Kiguchi"</f>
        <v>Kiguchi</v>
      </c>
      <c r="G1703" t="str">
        <f>"negarestanabi"</f>
        <v>negarestanabi</v>
      </c>
    </row>
    <row r="1704" spans="1:7" x14ac:dyDescent="0.25">
      <c r="A1704" t="str">
        <f>"Singlet Oxygen : Applications in Biosciences and Nanosciences"</f>
        <v>Singlet Oxygen : Applications in Biosciences and Nanosciences</v>
      </c>
      <c r="B1704" t="str">
        <f>"9781782626961"</f>
        <v>9781782626961</v>
      </c>
      <c r="C1704">
        <v>227.5</v>
      </c>
      <c r="D1704" t="str">
        <f>"GBP"</f>
        <v>GBP</v>
      </c>
      <c r="E1704" t="str">
        <f>"2016"</f>
        <v>2016</v>
      </c>
      <c r="F1704" t="str">
        <f>"Nonell, Flors"</f>
        <v>Nonell, Flors</v>
      </c>
      <c r="G1704" t="str">
        <f>"arzinbooks"</f>
        <v>arzinbooks</v>
      </c>
    </row>
    <row r="1705" spans="1:7" x14ac:dyDescent="0.25">
      <c r="A1705" t="str">
        <f>"Six-Membered Transition States in Organic Synthesis"</f>
        <v>Six-Membered Transition States in Organic Synthesis</v>
      </c>
      <c r="B1705" t="str">
        <f>"9780470178836"</f>
        <v>9780470178836</v>
      </c>
      <c r="C1705">
        <v>87</v>
      </c>
      <c r="D1705" t="str">
        <f>"USD"</f>
        <v>USD</v>
      </c>
      <c r="E1705" t="str">
        <f>"2008"</f>
        <v>2008</v>
      </c>
      <c r="F1705" t="str">
        <f>"Yang"</f>
        <v>Yang</v>
      </c>
      <c r="G1705" t="str">
        <f>"safirketab"</f>
        <v>safirketab</v>
      </c>
    </row>
    <row r="1706" spans="1:7" x14ac:dyDescent="0.25">
      <c r="A1706" t="str">
        <f>"Skeletal Trauma Analysis: Case Studies in Context"</f>
        <v>Skeletal Trauma Analysis: Case Studies in Context</v>
      </c>
      <c r="B1706" t="str">
        <f>"9781118384220"</f>
        <v>9781118384220</v>
      </c>
      <c r="C1706">
        <v>88</v>
      </c>
      <c r="D1706" t="str">
        <f>"USD"</f>
        <v>USD</v>
      </c>
      <c r="E1706" t="str">
        <f>"2015"</f>
        <v>2015</v>
      </c>
      <c r="F1706" t="str">
        <f>"Passalacqua"</f>
        <v>Passalacqua</v>
      </c>
      <c r="G1706" t="str">
        <f>"avanddanesh"</f>
        <v>avanddanesh</v>
      </c>
    </row>
    <row r="1707" spans="1:7" x14ac:dyDescent="0.25">
      <c r="A1707" t="str">
        <f>"Small Molecule Medicinal Chemistry: Strategies and Technologies"</f>
        <v>Small Molecule Medicinal Chemistry: Strategies and Technologies</v>
      </c>
      <c r="B1707" t="str">
        <f>"9781118771600"</f>
        <v>9781118771600</v>
      </c>
      <c r="C1707">
        <v>120</v>
      </c>
      <c r="D1707" t="str">
        <f>"USD"</f>
        <v>USD</v>
      </c>
      <c r="E1707" t="str">
        <f>"2015"</f>
        <v>2015</v>
      </c>
      <c r="F1707" t="str">
        <f>"Czechtizky"</f>
        <v>Czechtizky</v>
      </c>
      <c r="G1707" t="str">
        <f>"avanddanesh"</f>
        <v>avanddanesh</v>
      </c>
    </row>
    <row r="1708" spans="1:7" x14ac:dyDescent="0.25">
      <c r="A1708" t="str">
        <f>"Smart Membranes and Sensors: Synthesis, Characterization, and Applications"</f>
        <v>Smart Membranes and Sensors: Synthesis, Characterization, and Applications</v>
      </c>
      <c r="B1708" t="str">
        <f>"9781118423790"</f>
        <v>9781118423790</v>
      </c>
      <c r="C1708">
        <v>150.69999999999999</v>
      </c>
      <c r="D1708" t="str">
        <f>"USD"</f>
        <v>USD</v>
      </c>
      <c r="E1708" t="str">
        <f>"2014"</f>
        <v>2014</v>
      </c>
      <c r="F1708" t="str">
        <f>"Gugliuzza"</f>
        <v>Gugliuzza</v>
      </c>
      <c r="G1708" t="str">
        <f>"avanddanesh"</f>
        <v>avanddanesh</v>
      </c>
    </row>
    <row r="1709" spans="1:7" x14ac:dyDescent="0.25">
      <c r="A1709" t="str">
        <f>"Snow ,Ice and other wonders of water :a tribute to the hydrogen bond"</f>
        <v>Snow ,Ice and other wonders of water :a tribute to the hydrogen bond</v>
      </c>
      <c r="B1709" t="str">
        <f>"9789814749367"</f>
        <v>9789814749367</v>
      </c>
      <c r="C1709">
        <v>13.6</v>
      </c>
      <c r="D1709" t="str">
        <f>"GBP"</f>
        <v>GBP</v>
      </c>
      <c r="E1709" t="str">
        <f>"2016"</f>
        <v>2016</v>
      </c>
      <c r="F1709" t="str">
        <f>"Ivar Olovsson"</f>
        <v>Ivar Olovsson</v>
      </c>
      <c r="G1709" t="str">
        <f>"AsarBartar"</f>
        <v>AsarBartar</v>
      </c>
    </row>
    <row r="1710" spans="1:7" x14ac:dyDescent="0.25">
      <c r="A1710" t="str">
        <f>"Sodium Dithionite ,Rongalite and Thiourea Oxides :chemistry and application"</f>
        <v>Sodium Dithionite ,Rongalite and Thiourea Oxides :chemistry and application</v>
      </c>
      <c r="B1710" t="str">
        <f>"9781786340955"</f>
        <v>9781786340955</v>
      </c>
      <c r="C1710">
        <v>68.849999999999994</v>
      </c>
      <c r="D1710" t="str">
        <f>"GBP"</f>
        <v>GBP</v>
      </c>
      <c r="E1710" t="str">
        <f>"2016"</f>
        <v>2016</v>
      </c>
      <c r="F1710" t="str">
        <f>"sergei v Makarov"</f>
        <v>sergei v Makarov</v>
      </c>
      <c r="G1710" t="str">
        <f>"AsarBartar"</f>
        <v>AsarBartar</v>
      </c>
    </row>
    <row r="1711" spans="1:7" x14ac:dyDescent="0.25">
      <c r="A1711" t="str">
        <f>"Soft Matter Nanotechnology: From Structure to Function"</f>
        <v>Soft Matter Nanotechnology: From Structure to Function</v>
      </c>
      <c r="B1711" t="str">
        <f>"9783527337224"</f>
        <v>9783527337224</v>
      </c>
      <c r="C1711">
        <v>164</v>
      </c>
      <c r="D1711" t="str">
        <f>"USD"</f>
        <v>USD</v>
      </c>
      <c r="E1711" t="str">
        <f>"2015"</f>
        <v>2015</v>
      </c>
      <c r="F1711" t="str">
        <f>"Chen"</f>
        <v>Chen</v>
      </c>
      <c r="G1711" t="str">
        <f>"avanddanesh"</f>
        <v>avanddanesh</v>
      </c>
    </row>
    <row r="1712" spans="1:7" x14ac:dyDescent="0.25">
      <c r="A1712" t="str">
        <f>"Soft Matter: V2: Complex Colloidal Suspensions"</f>
        <v>Soft Matter: V2: Complex Colloidal Suspensions</v>
      </c>
      <c r="B1712" t="str">
        <f>"9783527313693"</f>
        <v>9783527313693</v>
      </c>
      <c r="C1712">
        <v>111</v>
      </c>
      <c r="D1712" t="str">
        <f>"USD"</f>
        <v>USD</v>
      </c>
      <c r="E1712" t="str">
        <f>"2006"</f>
        <v>2006</v>
      </c>
      <c r="F1712" t="str">
        <f>"General &amp; Introducto"</f>
        <v>General &amp; Introducto</v>
      </c>
      <c r="G1712" t="str">
        <f>"safirketab"</f>
        <v>safirketab</v>
      </c>
    </row>
    <row r="1713" spans="1:7" x14ac:dyDescent="0.25">
      <c r="A1713" t="str">
        <f>"Soft Matter: V3: Colloidal Order: Entropic and Surface Forces"</f>
        <v>Soft Matter: V3: Colloidal Order: Entropic and Surface Forces</v>
      </c>
      <c r="B1713" t="str">
        <f>"9783527313709"</f>
        <v>9783527313709</v>
      </c>
      <c r="C1713">
        <v>120</v>
      </c>
      <c r="D1713" t="str">
        <f>"USD"</f>
        <v>USD</v>
      </c>
      <c r="E1713" t="str">
        <f>"2007"</f>
        <v>2007</v>
      </c>
      <c r="F1713" t="str">
        <f>"Gompper-Chemistry"</f>
        <v>Gompper-Chemistry</v>
      </c>
      <c r="G1713" t="str">
        <f>"safirketab"</f>
        <v>safirketab</v>
      </c>
    </row>
    <row r="1714" spans="1:7" x14ac:dyDescent="0.25">
      <c r="A1714" t="str">
        <f>"Soft Matter:V1:  Polymer Melts and Mixtures"</f>
        <v>Soft Matter:V1:  Polymer Melts and Mixtures</v>
      </c>
      <c r="B1714" t="str">
        <f>"9783527305001"</f>
        <v>9783527305001</v>
      </c>
      <c r="C1714">
        <v>111</v>
      </c>
      <c r="D1714" t="str">
        <f>"USD"</f>
        <v>USD</v>
      </c>
      <c r="E1714" t="str">
        <f>"2006"</f>
        <v>2006</v>
      </c>
      <c r="F1714" t="str">
        <f>"General &amp; Introducto"</f>
        <v>General &amp; Introducto</v>
      </c>
      <c r="G1714" t="str">
        <f>"safirketab"</f>
        <v>safirketab</v>
      </c>
    </row>
    <row r="1715" spans="1:7" x14ac:dyDescent="0.25">
      <c r="A1715" t="str">
        <f>"Sol-Gel Handbook: Synthesis, Characterization, and Applications, 3V Set"</f>
        <v>Sol-Gel Handbook: Synthesis, Characterization, and Applications, 3V Set</v>
      </c>
      <c r="B1715" t="str">
        <f>"9783527334865"</f>
        <v>9783527334865</v>
      </c>
      <c r="C1715">
        <v>540</v>
      </c>
      <c r="D1715" t="str">
        <f>"USD"</f>
        <v>USD</v>
      </c>
      <c r="E1715" t="str">
        <f>"2015"</f>
        <v>2015</v>
      </c>
      <c r="F1715" t="str">
        <f>"Levy"</f>
        <v>Levy</v>
      </c>
      <c r="G1715" t="str">
        <f>"avanddanesh"</f>
        <v>avanddanesh</v>
      </c>
    </row>
    <row r="1716" spans="1:7" x14ac:dyDescent="0.25">
      <c r="A1716" t="str">
        <f>"Solid Compounds of  Transition Elements II"</f>
        <v>Solid Compounds of  Transition Elements II</v>
      </c>
      <c r="B1716" t="str">
        <f>"9783037855195"</f>
        <v>9783037855195</v>
      </c>
      <c r="C1716">
        <v>70</v>
      </c>
      <c r="D1716" t="str">
        <f>"EUR"</f>
        <v>EUR</v>
      </c>
      <c r="E1716" t="str">
        <f>"2013"</f>
        <v>2013</v>
      </c>
      <c r="F1716" t="str">
        <f>"Verbovy."</f>
        <v>Verbovy.</v>
      </c>
      <c r="G1716" t="str">
        <f>"jahanadib"</f>
        <v>jahanadib</v>
      </c>
    </row>
    <row r="1717" spans="1:7" x14ac:dyDescent="0.25">
      <c r="A1717" t="str">
        <f>"Solid Phase Microextraction: Recent Developments and Applications"</f>
        <v>Solid Phase Microextraction: Recent Developments and Applications</v>
      </c>
      <c r="B1717" t="str">
        <f>"9783662535967"</f>
        <v>9783662535967</v>
      </c>
      <c r="C1717">
        <v>125.99</v>
      </c>
      <c r="D1717" t="str">
        <f>"EUR"</f>
        <v>EUR</v>
      </c>
      <c r="E1717" t="str">
        <f>"2017"</f>
        <v>2017</v>
      </c>
      <c r="F1717" t="str">
        <f>"Ouyang"</f>
        <v>Ouyang</v>
      </c>
      <c r="G1717" t="str">
        <f>"negarestanabi"</f>
        <v>negarestanabi</v>
      </c>
    </row>
    <row r="1718" spans="1:7" x14ac:dyDescent="0.25">
      <c r="A1718" t="str">
        <f>"Solid State Electrochemistry II : Electrodes, Interfaces and Ceramic Membranes"</f>
        <v>Solid State Electrochemistry II : Electrodes, Interfaces and Ceramic Membranes</v>
      </c>
      <c r="B1718" t="str">
        <f>"9783527326389"</f>
        <v>9783527326389</v>
      </c>
      <c r="C1718">
        <v>89.6</v>
      </c>
      <c r="D1718" t="str">
        <f t="shared" ref="D1718:D1729" si="110">"USD"</f>
        <v>USD</v>
      </c>
      <c r="E1718" t="str">
        <f>"2011"</f>
        <v>2011</v>
      </c>
      <c r="F1718" t="str">
        <f>"Kharton"</f>
        <v>Kharton</v>
      </c>
      <c r="G1718" t="str">
        <f t="shared" ref="G1718:G1724" si="111">"avanddanesh"</f>
        <v>avanddanesh</v>
      </c>
    </row>
    <row r="1719" spans="1:7" x14ac:dyDescent="0.25">
      <c r="A1719" t="str">
        <f>"Solid State Electrochemistry, 2V Set"</f>
        <v>Solid State Electrochemistry, 2V Set</v>
      </c>
      <c r="B1719" t="str">
        <f>"9783527326570"</f>
        <v>9783527326570</v>
      </c>
      <c r="C1719">
        <v>166</v>
      </c>
      <c r="D1719" t="str">
        <f t="shared" si="110"/>
        <v>USD</v>
      </c>
      <c r="E1719" t="str">
        <f>"2011"</f>
        <v>2011</v>
      </c>
      <c r="F1719" t="str">
        <f>"Kharton"</f>
        <v>Kharton</v>
      </c>
      <c r="G1719" t="str">
        <f t="shared" si="111"/>
        <v>avanddanesh</v>
      </c>
    </row>
    <row r="1720" spans="1:7" x14ac:dyDescent="0.25">
      <c r="A1720" t="str">
        <f>"Solid State NMR Studies of Biopolymers"</f>
        <v>Solid State NMR Studies of Biopolymers</v>
      </c>
      <c r="B1720" t="str">
        <f>"9780470721223"</f>
        <v>9780470721223</v>
      </c>
      <c r="C1720">
        <v>58</v>
      </c>
      <c r="D1720" t="str">
        <f t="shared" si="110"/>
        <v>USD</v>
      </c>
      <c r="E1720" t="str">
        <f>"2010"</f>
        <v>2010</v>
      </c>
      <c r="F1720" t="str">
        <f>"McDermott"</f>
        <v>McDermott</v>
      </c>
      <c r="G1720" t="str">
        <f t="shared" si="111"/>
        <v>avanddanesh</v>
      </c>
    </row>
    <row r="1721" spans="1:7" x14ac:dyDescent="0.25">
      <c r="A1721" t="str">
        <f>"Solid-Phase Organic Syntheses, V 2, Solid-Phase Palladium Chemistry"</f>
        <v>Solid-Phase Organic Syntheses, V 2, Solid-Phase Palladium Chemistry</v>
      </c>
      <c r="B1721" t="str">
        <f>"9780470566657"</f>
        <v>9780470566657</v>
      </c>
      <c r="C1721">
        <v>99</v>
      </c>
      <c r="D1721" t="str">
        <f t="shared" si="110"/>
        <v>USD</v>
      </c>
      <c r="E1721" t="str">
        <f>"2012"</f>
        <v>2012</v>
      </c>
      <c r="F1721" t="str">
        <f>"Scott"</f>
        <v>Scott</v>
      </c>
      <c r="G1721" t="str">
        <f t="shared" si="111"/>
        <v>avanddanesh</v>
      </c>
    </row>
    <row r="1722" spans="1:7" x14ac:dyDescent="0.25">
      <c r="A1722" t="str">
        <f>"Solid-Phase Organic Synthesis: Concepts, Strategies, and Applications"</f>
        <v>Solid-Phase Organic Synthesis: Concepts, Strategies, and Applications</v>
      </c>
      <c r="B1722" t="str">
        <f>"9780470599143"</f>
        <v>9780470599143</v>
      </c>
      <c r="C1722">
        <v>93.6</v>
      </c>
      <c r="D1722" t="str">
        <f t="shared" si="110"/>
        <v>USD</v>
      </c>
      <c r="E1722" t="str">
        <f>"2012"</f>
        <v>2012</v>
      </c>
      <c r="F1722" t="str">
        <f>"Toy"</f>
        <v>Toy</v>
      </c>
      <c r="G1722" t="str">
        <f t="shared" si="111"/>
        <v>avanddanesh</v>
      </c>
    </row>
    <row r="1723" spans="1:7" x14ac:dyDescent="0.25">
      <c r="A1723" t="str">
        <f>"Solid-State Properties of Pharmaceutical Materials"</f>
        <v>Solid-State Properties of Pharmaceutical Materials</v>
      </c>
      <c r="B1723" t="str">
        <f>"9781118145302"</f>
        <v>9781118145302</v>
      </c>
      <c r="C1723">
        <v>175.5</v>
      </c>
      <c r="D1723" t="str">
        <f t="shared" si="110"/>
        <v>USD</v>
      </c>
      <c r="E1723" t="str">
        <f>"2017"</f>
        <v>2017</v>
      </c>
      <c r="F1723" t="str">
        <f>"Byrn"</f>
        <v>Byrn</v>
      </c>
      <c r="G1723" t="str">
        <f t="shared" si="111"/>
        <v>avanddanesh</v>
      </c>
    </row>
    <row r="1724" spans="1:7" x14ac:dyDescent="0.25">
      <c r="A1724" t="str">
        <f>"Solomons's Organic Chemistry, Global Edition"</f>
        <v>Solomons's Organic Chemistry, Global Edition</v>
      </c>
      <c r="B1724" t="str">
        <f>"9781119248972"</f>
        <v>9781119248972</v>
      </c>
      <c r="C1724">
        <v>61.9</v>
      </c>
      <c r="D1724" t="str">
        <f t="shared" si="110"/>
        <v>USD</v>
      </c>
      <c r="E1724" t="str">
        <f>"2017"</f>
        <v>2017</v>
      </c>
      <c r="F1724" t="str">
        <f>"Solomons"</f>
        <v>Solomons</v>
      </c>
      <c r="G1724" t="str">
        <f t="shared" si="111"/>
        <v>avanddanesh</v>
      </c>
    </row>
    <row r="1725" spans="1:7" x14ac:dyDescent="0.25">
      <c r="A1725" t="str">
        <f>"Solution Processing of Inorganic Materials"</f>
        <v>Solution Processing of Inorganic Materials</v>
      </c>
      <c r="B1725" t="str">
        <f>"9780470406656"</f>
        <v>9780470406656</v>
      </c>
      <c r="C1725">
        <v>105.84</v>
      </c>
      <c r="D1725" t="str">
        <f t="shared" si="110"/>
        <v>USD</v>
      </c>
      <c r="E1725" t="str">
        <f>"2009"</f>
        <v>2009</v>
      </c>
      <c r="F1725" t="str">
        <f>"Mitzi"</f>
        <v>Mitzi</v>
      </c>
      <c r="G1725" t="str">
        <f>"safirketab"</f>
        <v>safirketab</v>
      </c>
    </row>
    <row r="1726" spans="1:7" x14ac:dyDescent="0.25">
      <c r="A1726" t="str">
        <f>"Solution Thermodynamics and its Application to Aqueous Solutions, A Differential Approach, 2nd Edition"</f>
        <v>Solution Thermodynamics and its Application to Aqueous Solutions, A Differential Approach, 2nd Edition</v>
      </c>
      <c r="B1726" t="str">
        <f>"9780444636294"</f>
        <v>9780444636294</v>
      </c>
      <c r="C1726">
        <v>180</v>
      </c>
      <c r="D1726" t="str">
        <f t="shared" si="110"/>
        <v>USD</v>
      </c>
      <c r="E1726" t="str">
        <f>"2017"</f>
        <v>2017</v>
      </c>
      <c r="F1726" t="str">
        <f>"Koga"</f>
        <v>Koga</v>
      </c>
      <c r="G1726" t="str">
        <f>"dehkadehketab"</f>
        <v>dehkadehketab</v>
      </c>
    </row>
    <row r="1727" spans="1:7" x14ac:dyDescent="0.25">
      <c r="A1727" t="str">
        <f>"Solvent Effects in Chemistry,2e"</f>
        <v>Solvent Effects in Chemistry,2e</v>
      </c>
      <c r="B1727" t="str">
        <f>"9781119030980"</f>
        <v>9781119030980</v>
      </c>
      <c r="C1727">
        <v>100</v>
      </c>
      <c r="D1727" t="str">
        <f t="shared" si="110"/>
        <v>USD</v>
      </c>
      <c r="E1727" t="str">
        <f>"2015"</f>
        <v>2015</v>
      </c>
      <c r="F1727" t="str">
        <f>"Buncel"</f>
        <v>Buncel</v>
      </c>
      <c r="G1727" t="str">
        <f>"avanddanesh"</f>
        <v>avanddanesh</v>
      </c>
    </row>
    <row r="1728" spans="1:7" x14ac:dyDescent="0.25">
      <c r="A1728" t="str">
        <f>"Solvents as Reagents in Organic Synthesis: Reactions and Applications"</f>
        <v>Solvents as Reagents in Organic Synthesis: Reactions and Applications</v>
      </c>
      <c r="B1728" t="str">
        <f>"9783527341962"</f>
        <v>9783527341962</v>
      </c>
      <c r="C1728">
        <v>193.5</v>
      </c>
      <c r="D1728" t="str">
        <f t="shared" si="110"/>
        <v>USD</v>
      </c>
      <c r="E1728" t="str">
        <f>"2017"</f>
        <v>2017</v>
      </c>
      <c r="F1728" t="str">
        <f>"Wu"</f>
        <v>Wu</v>
      </c>
      <c r="G1728" t="str">
        <f>"avanddanesh"</f>
        <v>avanddanesh</v>
      </c>
    </row>
    <row r="1729" spans="1:7" x14ac:dyDescent="0.25">
      <c r="A1729" t="str">
        <f>"Somatostatin Analogues: From Research to Clinical Practice"</f>
        <v>Somatostatin Analogues: From Research to Clinical Practice</v>
      </c>
      <c r="B1729" t="str">
        <f>"9781118521533"</f>
        <v>9781118521533</v>
      </c>
      <c r="C1729">
        <v>120</v>
      </c>
      <c r="D1729" t="str">
        <f t="shared" si="110"/>
        <v>USD</v>
      </c>
      <c r="E1729" t="str">
        <f>"2015"</f>
        <v>2015</v>
      </c>
      <c r="F1729" t="str">
        <f>"Hubalewska-Dydejczyk"</f>
        <v>Hubalewska-Dydejczyk</v>
      </c>
      <c r="G1729" t="str">
        <f>"avanddanesh"</f>
        <v>avanddanesh</v>
      </c>
    </row>
    <row r="1730" spans="1:7" x14ac:dyDescent="0.25">
      <c r="A1730" t="str">
        <f>"sonochemistry :new approach for green chemistry"</f>
        <v>sonochemistry :new approach for green chemistry</v>
      </c>
      <c r="B1730" t="str">
        <f>"9781786341501"</f>
        <v>9781786341501</v>
      </c>
      <c r="C1730">
        <v>31.45</v>
      </c>
      <c r="D1730" t="str">
        <f>"GBP"</f>
        <v>GBP</v>
      </c>
      <c r="E1730" t="str">
        <f>"2016"</f>
        <v>2016</v>
      </c>
      <c r="F1730" t="str">
        <f>"Gregory chatel"</f>
        <v>Gregory chatel</v>
      </c>
      <c r="G1730" t="str">
        <f>"AsarBartar"</f>
        <v>AsarBartar</v>
      </c>
    </row>
    <row r="1731" spans="1:7" x14ac:dyDescent="0.25">
      <c r="A1731" t="str">
        <f>"Sonochemistry: From Basic Principles to Innovative Applications"</f>
        <v>Sonochemistry: From Basic Principles to Innovative Applications</v>
      </c>
      <c r="B1731" t="str">
        <f>"9783319542706"</f>
        <v>9783319542706</v>
      </c>
      <c r="C1731">
        <v>251.99</v>
      </c>
      <c r="D1731" t="str">
        <f>"EUR"</f>
        <v>EUR</v>
      </c>
      <c r="E1731" t="str">
        <f>"2017"</f>
        <v>2017</v>
      </c>
      <c r="F1731" t="str">
        <f>"Colmenares"</f>
        <v>Colmenares</v>
      </c>
      <c r="G1731" t="str">
        <f>"negarestanabi"</f>
        <v>negarestanabi</v>
      </c>
    </row>
    <row r="1732" spans="1:7" x14ac:dyDescent="0.25">
      <c r="A1732" t="str">
        <f>"SONOCHEMISTRY: NEW OPPORTUNITIES FOR GREEN CHEMISTRY"</f>
        <v>SONOCHEMISTRY: NEW OPPORTUNITIES FOR GREEN CHEMISTRY</v>
      </c>
      <c r="B1732" t="str">
        <f>"9781786341273"</f>
        <v>9781786341273</v>
      </c>
      <c r="C1732">
        <v>59.4</v>
      </c>
      <c r="D1732" t="str">
        <f>"GBP"</f>
        <v>GBP</v>
      </c>
      <c r="E1732" t="str">
        <f>"2017"</f>
        <v>2017</v>
      </c>
      <c r="F1732" t="str">
        <f>"CHATEL GREGORY"</f>
        <v>CHATEL GREGORY</v>
      </c>
      <c r="G1732" t="str">
        <f>"AsarBartar"</f>
        <v>AsarBartar</v>
      </c>
    </row>
    <row r="1733" spans="1:7" x14ac:dyDescent="0.25">
      <c r="A1733" t="str">
        <f>"Sources of Contamination in Medicinal Products and Medical Devices"</f>
        <v>Sources of Contamination in Medicinal Products and Medical Devices</v>
      </c>
      <c r="B1733" t="str">
        <f>"9780470487501"</f>
        <v>9780470487501</v>
      </c>
      <c r="C1733">
        <v>99</v>
      </c>
      <c r="D1733" t="str">
        <f t="shared" ref="D1733:D1748" si="112">"USD"</f>
        <v>USD</v>
      </c>
      <c r="E1733" t="str">
        <f>"2012"</f>
        <v>2012</v>
      </c>
      <c r="F1733" t="str">
        <f>"Bohrer"</f>
        <v>Bohrer</v>
      </c>
      <c r="G1733" t="str">
        <f>"avanddanesh"</f>
        <v>avanddanesh</v>
      </c>
    </row>
    <row r="1734" spans="1:7" x14ac:dyDescent="0.25">
      <c r="A1734" t="str">
        <f>"Spatial Capture-Recapture"</f>
        <v>Spatial Capture-Recapture</v>
      </c>
      <c r="B1734" t="str">
        <f>"9780128100110"</f>
        <v>9780128100110</v>
      </c>
      <c r="C1734">
        <v>116.95</v>
      </c>
      <c r="D1734" t="str">
        <f t="shared" si="112"/>
        <v>USD</v>
      </c>
      <c r="E1734" t="str">
        <f>"2017"</f>
        <v>2017</v>
      </c>
      <c r="F1734" t="str">
        <f>"Royle et al"</f>
        <v>Royle et al</v>
      </c>
      <c r="G1734" t="str">
        <f>"dehkadehketab"</f>
        <v>dehkadehketab</v>
      </c>
    </row>
    <row r="1735" spans="1:7" x14ac:dyDescent="0.25">
      <c r="A1735" t="str">
        <f>"Spin Resonance Spectroscopy, Principles and applications"</f>
        <v>Spin Resonance Spectroscopy, Principles and applications</v>
      </c>
      <c r="B1735" t="str">
        <f>"9780128135808"</f>
        <v>9780128135808</v>
      </c>
      <c r="C1735">
        <v>135</v>
      </c>
      <c r="D1735" t="str">
        <f t="shared" si="112"/>
        <v>USD</v>
      </c>
      <c r="E1735" t="str">
        <f>"2018"</f>
        <v>2018</v>
      </c>
      <c r="F1735" t="str">
        <f>"Karunakaran"</f>
        <v>Karunakaran</v>
      </c>
      <c r="G1735" t="str">
        <f>"dehkadehketab"</f>
        <v>dehkadehketab</v>
      </c>
    </row>
    <row r="1736" spans="1:7" x14ac:dyDescent="0.25">
      <c r="A1736" t="str">
        <f>"Spin States in Biochemistry and Inorganic Chemistry: Influence on Structure and Reactivity"</f>
        <v>Spin States in Biochemistry and Inorganic Chemistry: Influence on Structure and Reactivity</v>
      </c>
      <c r="B1736" t="str">
        <f>"9781118898314"</f>
        <v>9781118898314</v>
      </c>
      <c r="C1736">
        <v>120</v>
      </c>
      <c r="D1736" t="str">
        <f t="shared" si="112"/>
        <v>USD</v>
      </c>
      <c r="E1736" t="str">
        <f>"2015"</f>
        <v>2015</v>
      </c>
      <c r="F1736" t="str">
        <f>"Swart"</f>
        <v>Swart</v>
      </c>
      <c r="G1736" t="str">
        <f>"avanddanesh"</f>
        <v>avanddanesh</v>
      </c>
    </row>
    <row r="1737" spans="1:7" x14ac:dyDescent="0.25">
      <c r="A1737" t="str">
        <f>"Stable Isotope Forensics: Methods and Forensic Applications of Stable Isotope Analysis,2e"</f>
        <v>Stable Isotope Forensics: Methods and Forensic Applications of Stable Isotope Analysis,2e</v>
      </c>
      <c r="B1737" t="str">
        <f>"9781119080206"</f>
        <v>9781119080206</v>
      </c>
      <c r="C1737">
        <v>135</v>
      </c>
      <c r="D1737" t="str">
        <f t="shared" si="112"/>
        <v>USD</v>
      </c>
      <c r="E1737" t="str">
        <f>"2017"</f>
        <v>2017</v>
      </c>
      <c r="F1737" t="str">
        <f>"Meier-Augenstei"</f>
        <v>Meier-Augenstei</v>
      </c>
      <c r="G1737" t="str">
        <f>"avanddanesh"</f>
        <v>avanddanesh</v>
      </c>
    </row>
    <row r="1738" spans="1:7" x14ac:dyDescent="0.25">
      <c r="A1738" t="str">
        <f>"Stable Radicals: Fundamentals and Applied Aspects of Odd-Electron Compounds"</f>
        <v>Stable Radicals: Fundamentals and Applied Aspects of Odd-Electron Compounds</v>
      </c>
      <c r="B1738" t="str">
        <f>"9780470770832"</f>
        <v>9780470770832</v>
      </c>
      <c r="C1738">
        <v>70</v>
      </c>
      <c r="D1738" t="str">
        <f t="shared" si="112"/>
        <v>USD</v>
      </c>
      <c r="E1738" t="str">
        <f>"2010"</f>
        <v>2010</v>
      </c>
      <c r="F1738" t="str">
        <f>"Hicks"</f>
        <v>Hicks</v>
      </c>
      <c r="G1738" t="str">
        <f>"safirketab"</f>
        <v>safirketab</v>
      </c>
    </row>
    <row r="1739" spans="1:7" x14ac:dyDescent="0.25">
      <c r="A1739" t="str">
        <f>"Stable Radicals: Fundamentals and Applied Aspects of Odd-Electron Compounds"</f>
        <v>Stable Radicals: Fundamentals and Applied Aspects of Odd-Electron Compounds</v>
      </c>
      <c r="B1739" t="str">
        <f>"9780470770832"</f>
        <v>9780470770832</v>
      </c>
      <c r="C1739">
        <v>70</v>
      </c>
      <c r="D1739" t="str">
        <f t="shared" si="112"/>
        <v>USD</v>
      </c>
      <c r="E1739" t="str">
        <f>"2010"</f>
        <v>2010</v>
      </c>
      <c r="F1739" t="str">
        <f>"Hicks"</f>
        <v>Hicks</v>
      </c>
      <c r="G1739" t="str">
        <f t="shared" ref="G1739:G1744" si="113">"avanddanesh"</f>
        <v>avanddanesh</v>
      </c>
    </row>
    <row r="1740" spans="1:7" x14ac:dyDescent="0.25">
      <c r="A1740" t="str">
        <f>"Standard and Super-Resolution Bioimaging Data Analysis: A Primer"</f>
        <v>Standard and Super-Resolution Bioimaging Data Analysis: A Primer</v>
      </c>
      <c r="B1740" t="str">
        <f>"9781119096900"</f>
        <v>9781119096900</v>
      </c>
      <c r="C1740">
        <v>81</v>
      </c>
      <c r="D1740" t="str">
        <f t="shared" si="112"/>
        <v>USD</v>
      </c>
      <c r="E1740" t="str">
        <f>"2017"</f>
        <v>2017</v>
      </c>
      <c r="F1740" t="str">
        <f>"Wheeler"</f>
        <v>Wheeler</v>
      </c>
      <c r="G1740" t="str">
        <f t="shared" si="113"/>
        <v>avanddanesh</v>
      </c>
    </row>
    <row r="1741" spans="1:7" x14ac:dyDescent="0.25">
      <c r="A1741" t="str">
        <f>"Static Electricity: Understanding, Controlling, Applying"</f>
        <v>Static Electricity: Understanding, Controlling, Applying</v>
      </c>
      <c r="B1741" t="str">
        <f>"9783527341283"</f>
        <v>9783527341283</v>
      </c>
      <c r="C1741">
        <v>148.5</v>
      </c>
      <c r="D1741" t="str">
        <f t="shared" si="112"/>
        <v>USD</v>
      </c>
      <c r="E1741" t="str">
        <f>"2017"</f>
        <v>2017</v>
      </c>
      <c r="F1741" t="str">
        <f>"LÃ¼ttgens"</f>
        <v>LÃ¼ttgens</v>
      </c>
      <c r="G1741" t="str">
        <f t="shared" si="113"/>
        <v>avanddanesh</v>
      </c>
    </row>
    <row r="1742" spans="1:7" x14ac:dyDescent="0.25">
      <c r="A1742" t="str">
        <f>"Statistical Tools for the Comprehensive Practice of Industrial Hygiene and Environmental Health Sciences"</f>
        <v>Statistical Tools for the Comprehensive Practice of Industrial Hygiene and Environmental Health Sciences</v>
      </c>
      <c r="B1742" t="str">
        <f>"9781119143017"</f>
        <v>9781119143017</v>
      </c>
      <c r="C1742">
        <v>99</v>
      </c>
      <c r="D1742" t="str">
        <f t="shared" si="112"/>
        <v>USD</v>
      </c>
      <c r="E1742" t="str">
        <f>"2017"</f>
        <v>2017</v>
      </c>
      <c r="F1742" t="str">
        <f>"Johnson"</f>
        <v>Johnson</v>
      </c>
      <c r="G1742" t="str">
        <f t="shared" si="113"/>
        <v>avanddanesh</v>
      </c>
    </row>
    <row r="1743" spans="1:7" x14ac:dyDescent="0.25">
      <c r="A1743" t="str">
        <f>"Statistics: A Practical Approach for Process Control Engineers"</f>
        <v>Statistics: A Practical Approach for Process Control Engineers</v>
      </c>
      <c r="B1743" t="str">
        <f>"9781119383505"</f>
        <v>9781119383505</v>
      </c>
      <c r="C1743">
        <v>126</v>
      </c>
      <c r="D1743" t="str">
        <f t="shared" si="112"/>
        <v>USD</v>
      </c>
      <c r="E1743" t="str">
        <f>"2017"</f>
        <v>2017</v>
      </c>
      <c r="F1743" t="str">
        <f>"King"</f>
        <v>King</v>
      </c>
      <c r="G1743" t="str">
        <f t="shared" si="113"/>
        <v>avanddanesh</v>
      </c>
    </row>
    <row r="1744" spans="1:7" x14ac:dyDescent="0.25">
      <c r="A1744" t="str">
        <f>"Stereochemical Aspects of Organolithium Compounds: Topics in Stereochemistry"</f>
        <v>Stereochemical Aspects of Organolithium Compounds: Topics in Stereochemistry</v>
      </c>
      <c r="B1744" t="str">
        <f>"9783906390611"</f>
        <v>9783906390611</v>
      </c>
      <c r="C1744">
        <v>74.400000000000006</v>
      </c>
      <c r="D1744" t="str">
        <f t="shared" si="112"/>
        <v>USD</v>
      </c>
      <c r="E1744" t="str">
        <f>"2010"</f>
        <v>2010</v>
      </c>
      <c r="F1744" t="str">
        <f>"Gawley"</f>
        <v>Gawley</v>
      </c>
      <c r="G1744" t="str">
        <f t="shared" si="113"/>
        <v>avanddanesh</v>
      </c>
    </row>
    <row r="1745" spans="1:7" x14ac:dyDescent="0.25">
      <c r="A1745" t="str">
        <f>"Stereochemical Aspects of Organolithium Compounds: Topics in Stereochemistry"</f>
        <v>Stereochemical Aspects of Organolithium Compounds: Topics in Stereochemistry</v>
      </c>
      <c r="B1745" t="str">
        <f>"9783906390611"</f>
        <v>9783906390611</v>
      </c>
      <c r="C1745">
        <v>74.400000000000006</v>
      </c>
      <c r="D1745" t="str">
        <f t="shared" si="112"/>
        <v>USD</v>
      </c>
      <c r="E1745" t="str">
        <f>"2010"</f>
        <v>2010</v>
      </c>
      <c r="F1745" t="str">
        <f>"Gawley"</f>
        <v>Gawley</v>
      </c>
      <c r="G1745" t="str">
        <f>"safirketab"</f>
        <v>safirketab</v>
      </c>
    </row>
    <row r="1746" spans="1:7" x14ac:dyDescent="0.25">
      <c r="A1746" t="str">
        <f>"Stereochemistry and Stereoselective Synthesis: An Introduction"</f>
        <v>Stereochemistry and Stereoselective Synthesis: An Introduction</v>
      </c>
      <c r="B1746" t="str">
        <f>"9783527339013"</f>
        <v>9783527339013</v>
      </c>
      <c r="C1746">
        <v>59.5</v>
      </c>
      <c r="D1746" t="str">
        <f t="shared" si="112"/>
        <v>USD</v>
      </c>
      <c r="E1746" t="str">
        <f>"2016"</f>
        <v>2016</v>
      </c>
      <c r="F1746" t="str">
        <f>"N?gr?di"</f>
        <v>N?gr?di</v>
      </c>
      <c r="G1746" t="str">
        <f>"avanddanesh"</f>
        <v>avanddanesh</v>
      </c>
    </row>
    <row r="1747" spans="1:7" x14ac:dyDescent="0.25">
      <c r="A1747" t="str">
        <f>"Stereoelectronic Effects: A Bridge Between Structure and Reactivity"</f>
        <v>Stereoelectronic Effects: A Bridge Between Structure and Reactivity</v>
      </c>
      <c r="B1747" t="str">
        <f>"9781118906347"</f>
        <v>9781118906347</v>
      </c>
      <c r="C1747">
        <v>68</v>
      </c>
      <c r="D1747" t="str">
        <f t="shared" si="112"/>
        <v>USD</v>
      </c>
      <c r="E1747" t="str">
        <f>"2016"</f>
        <v>2016</v>
      </c>
      <c r="F1747" t="str">
        <f>"Alabugin"</f>
        <v>Alabugin</v>
      </c>
      <c r="G1747" t="str">
        <f>"avanddanesh"</f>
        <v>avanddanesh</v>
      </c>
    </row>
    <row r="1748" spans="1:7" x14ac:dyDescent="0.25">
      <c r="A1748" t="str">
        <f>"Stereoselective Multiple Bond-Forming Transformations in Organic Synthesis"</f>
        <v>Stereoselective Multiple Bond-Forming Transformations in Organic Synthesis</v>
      </c>
      <c r="B1748" t="str">
        <f>"9781118672716"</f>
        <v>9781118672716</v>
      </c>
      <c r="C1748">
        <v>124</v>
      </c>
      <c r="D1748" t="str">
        <f t="shared" si="112"/>
        <v>USD</v>
      </c>
      <c r="E1748" t="str">
        <f>"2015"</f>
        <v>2015</v>
      </c>
      <c r="F1748" t="str">
        <f>"Rodriguez"</f>
        <v>Rodriguez</v>
      </c>
      <c r="G1748" t="str">
        <f>"avanddanesh"</f>
        <v>avanddanesh</v>
      </c>
    </row>
    <row r="1749" spans="1:7" x14ac:dyDescent="0.25">
      <c r="A1749" t="str">
        <f>"Steric and Stereoelectronic Effects in Organic Chemistry"</f>
        <v>Steric and Stereoelectronic Effects in Organic Chemistry</v>
      </c>
      <c r="B1749" t="str">
        <f>"9789811011382"</f>
        <v>9789811011382</v>
      </c>
      <c r="C1749">
        <v>98.99</v>
      </c>
      <c r="D1749" t="str">
        <f>"EUR"</f>
        <v>EUR</v>
      </c>
      <c r="E1749" t="str">
        <f>"2016"</f>
        <v>2016</v>
      </c>
      <c r="F1749" t="str">
        <f>"Yadav"</f>
        <v>Yadav</v>
      </c>
      <c r="G1749" t="str">
        <f>"negarestanabi"</f>
        <v>negarestanabi</v>
      </c>
    </row>
    <row r="1750" spans="1:7" x14ac:dyDescent="0.25">
      <c r="A1750" t="str">
        <f>"Steroid Chemistry at a Glance"</f>
        <v>Steroid Chemistry at a Glance</v>
      </c>
      <c r="B1750" t="str">
        <f>"9780470660843"</f>
        <v>9780470660843</v>
      </c>
      <c r="C1750">
        <v>21</v>
      </c>
      <c r="D1750" t="str">
        <f>"USD"</f>
        <v>USD</v>
      </c>
      <c r="E1750" t="str">
        <f>"2010"</f>
        <v>2010</v>
      </c>
      <c r="F1750" t="str">
        <f>"Lednicer"</f>
        <v>Lednicer</v>
      </c>
      <c r="G1750" t="str">
        <f>"avanddanesh"</f>
        <v>avanddanesh</v>
      </c>
    </row>
    <row r="1751" spans="1:7" x14ac:dyDescent="0.25">
      <c r="A1751" t="str">
        <f>"Stoicchiometry And Materials Science : When Numbers Matter, HB,          'NEW'"</f>
        <v>Stoicchiometry And Materials Science : When Numbers Matter, HB,          'NEW'</v>
      </c>
      <c r="B1751" t="str">
        <f>"9789535105121"</f>
        <v>9789535105121</v>
      </c>
      <c r="C1751">
        <v>75</v>
      </c>
      <c r="D1751" t="str">
        <f>"USD"</f>
        <v>USD</v>
      </c>
      <c r="E1751" t="str">
        <f>"2014"</f>
        <v>2014</v>
      </c>
      <c r="F1751" t="str">
        <f>"Innocenti A."</f>
        <v>Innocenti A.</v>
      </c>
      <c r="G1751" t="str">
        <f>"supply"</f>
        <v>supply</v>
      </c>
    </row>
    <row r="1752" spans="1:7" x14ac:dyDescent="0.25">
      <c r="A1752" t="str">
        <f>"Strained Hydrocarbons:Beyond the van't Hoff and Le Bel Hypothesis"</f>
        <v>Strained Hydrocarbons:Beyond the van't Hoff and Le Bel Hypothesis</v>
      </c>
      <c r="B1752" t="str">
        <f>"9783527317677"</f>
        <v>9783527317677</v>
      </c>
      <c r="C1752">
        <v>183.75</v>
      </c>
      <c r="D1752" t="str">
        <f>"USD"</f>
        <v>USD</v>
      </c>
      <c r="E1752" t="str">
        <f>"2009"</f>
        <v>2009</v>
      </c>
      <c r="F1752" t="str">
        <f>"Dodziuk"</f>
        <v>Dodziuk</v>
      </c>
      <c r="G1752" t="str">
        <f>"safirketab"</f>
        <v>safirketab</v>
      </c>
    </row>
    <row r="1753" spans="1:7" x14ac:dyDescent="0.25">
      <c r="A1753" t="str">
        <f>"Strategies for Palladium-Catalyzed Non-Directed and Directed C-H Bond Functionalization"</f>
        <v>Strategies for Palladium-Catalyzed Non-Directed and Directed C-H Bond Functionalization</v>
      </c>
      <c r="B1753" t="str">
        <f>"9780128052549"</f>
        <v>9780128052549</v>
      </c>
      <c r="C1753">
        <v>135</v>
      </c>
      <c r="D1753" t="str">
        <f>"USD"</f>
        <v>USD</v>
      </c>
      <c r="E1753" t="str">
        <f>"2017"</f>
        <v>2017</v>
      </c>
      <c r="F1753" t="str">
        <f>"Kapdi and Maiti"</f>
        <v>Kapdi and Maiti</v>
      </c>
      <c r="G1753" t="str">
        <f>"dehkadehketab"</f>
        <v>dehkadehketab</v>
      </c>
    </row>
    <row r="1754" spans="1:7" x14ac:dyDescent="0.25">
      <c r="A1754" t="str">
        <f>"Structure and Function"</f>
        <v>Structure and Function</v>
      </c>
      <c r="B1754" t="str">
        <f>"9789048128877"</f>
        <v>9789048128877</v>
      </c>
      <c r="C1754">
        <v>134.99</v>
      </c>
      <c r="D1754" t="str">
        <f>"EUR"</f>
        <v>EUR</v>
      </c>
      <c r="E1754" t="str">
        <f>"2010"</f>
        <v>2010</v>
      </c>
      <c r="F1754" t="str">
        <f>"Comba"</f>
        <v>Comba</v>
      </c>
      <c r="G1754" t="str">
        <f>"negarestanabi"</f>
        <v>negarestanabi</v>
      </c>
    </row>
    <row r="1755" spans="1:7" x14ac:dyDescent="0.25">
      <c r="A1755" t="str">
        <f>"Structure and Modeling of Complex Petroleum Mixtures"</f>
        <v>Structure and Modeling of Complex Petroleum Mixtures</v>
      </c>
      <c r="B1755" t="str">
        <f>"9783319323206"</f>
        <v>9783319323206</v>
      </c>
      <c r="C1755">
        <v>224.99</v>
      </c>
      <c r="D1755" t="str">
        <f>"EUR"</f>
        <v>EUR</v>
      </c>
      <c r="E1755" t="str">
        <f>"2016"</f>
        <v>2016</v>
      </c>
      <c r="F1755" t="str">
        <f>"Xu"</f>
        <v>Xu</v>
      </c>
      <c r="G1755" t="str">
        <f>"negarestanabi"</f>
        <v>negarestanabi</v>
      </c>
    </row>
    <row r="1756" spans="1:7" x14ac:dyDescent="0.25">
      <c r="A1756" t="str">
        <f>"STRUCTURE BIOLOGICAL MENBRANES 3E"</f>
        <v>STRUCTURE BIOLOGICAL MENBRANES 3E</v>
      </c>
      <c r="B1756" t="str">
        <f>"9781439809570"</f>
        <v>9781439809570</v>
      </c>
      <c r="C1756">
        <v>82.8</v>
      </c>
      <c r="D1756" t="str">
        <f>"GBP"</f>
        <v>GBP</v>
      </c>
      <c r="E1756" t="str">
        <f>"2012"</f>
        <v>2012</v>
      </c>
      <c r="F1756" t="str">
        <f>"YEAGLE"</f>
        <v>YEAGLE</v>
      </c>
      <c r="G1756" t="str">
        <f>"AsarBartar"</f>
        <v>AsarBartar</v>
      </c>
    </row>
    <row r="1757" spans="1:7" x14ac:dyDescent="0.25">
      <c r="A1757" t="str">
        <f>"Structure Elucidation in Organic Chemistry: The Search for the Right Tools"</f>
        <v>Structure Elucidation in Organic Chemistry: The Search for the Right Tools</v>
      </c>
      <c r="B1757" t="str">
        <f>"9783527333363"</f>
        <v>9783527333363</v>
      </c>
      <c r="C1757">
        <v>169.6</v>
      </c>
      <c r="D1757" t="str">
        <f>"USD"</f>
        <v>USD</v>
      </c>
      <c r="E1757" t="str">
        <f>"2015"</f>
        <v>2015</v>
      </c>
      <c r="F1757" t="str">
        <f>"Cid"</f>
        <v>Cid</v>
      </c>
      <c r="G1757" t="str">
        <f>"avanddanesh"</f>
        <v>avanddanesh</v>
      </c>
    </row>
    <row r="1758" spans="1:7" x14ac:dyDescent="0.25">
      <c r="A1758" t="str">
        <f>"Structure from Diffraction Methods: Inorganic Materials Series"</f>
        <v>Structure from Diffraction Methods: Inorganic Materials Series</v>
      </c>
      <c r="B1758" t="str">
        <f>"9781119953227"</f>
        <v>9781119953227</v>
      </c>
      <c r="C1758">
        <v>78.8</v>
      </c>
      <c r="D1758" t="str">
        <f>"USD"</f>
        <v>USD</v>
      </c>
      <c r="E1758" t="str">
        <f>"2014"</f>
        <v>2014</v>
      </c>
      <c r="F1758" t="str">
        <f>"Bruce"</f>
        <v>Bruce</v>
      </c>
      <c r="G1758" t="str">
        <f>"avanddanesh"</f>
        <v>avanddanesh</v>
      </c>
    </row>
    <row r="1759" spans="1:7" x14ac:dyDescent="0.25">
      <c r="A1759" t="str">
        <f>"Student Solutions Manual to Accompany Atkins' Physical Chemistry"</f>
        <v>Student Solutions Manual to Accompany Atkins' Physical Chemistry</v>
      </c>
      <c r="B1759" t="str">
        <f>"9780198708001"</f>
        <v>9780198708001</v>
      </c>
      <c r="C1759">
        <v>15.5</v>
      </c>
      <c r="D1759" t="str">
        <f>"GBP"</f>
        <v>GBP</v>
      </c>
      <c r="E1759" t="str">
        <f>"2014"</f>
        <v>2014</v>
      </c>
      <c r="F1759" t="str">
        <f>"Charles Trapp"</f>
        <v>Charles Trapp</v>
      </c>
      <c r="G1759" t="str">
        <f>"arzinbooks"</f>
        <v>arzinbooks</v>
      </c>
    </row>
    <row r="1760" spans="1:7" x14ac:dyDescent="0.25">
      <c r="A1760" t="str">
        <f>"Studies in Natural Products Chemistry, Volume52"</f>
        <v>Studies in Natural Products Chemistry, Volume52</v>
      </c>
      <c r="B1760" t="str">
        <f>"9780444639141"</f>
        <v>9780444639141</v>
      </c>
      <c r="C1760">
        <v>265.5</v>
      </c>
      <c r="D1760" t="str">
        <f t="shared" ref="D1760:D1772" si="114">"USD"</f>
        <v>USD</v>
      </c>
      <c r="E1760" t="str">
        <f>"2017"</f>
        <v>2017</v>
      </c>
      <c r="F1760" t="str">
        <f>"Atta-ur-Rahman"</f>
        <v>Atta-ur-Rahman</v>
      </c>
      <c r="G1760" t="str">
        <f>"dehkadehketab"</f>
        <v>dehkadehketab</v>
      </c>
    </row>
    <row r="1761" spans="1:7" x14ac:dyDescent="0.25">
      <c r="A1761" t="str">
        <f>"Studies in Natural Products Chemistry, Volume53"</f>
        <v>Studies in Natural Products Chemistry, Volume53</v>
      </c>
      <c r="B1761" t="str">
        <f>"9780444639301"</f>
        <v>9780444639301</v>
      </c>
      <c r="C1761">
        <v>265.5</v>
      </c>
      <c r="D1761" t="str">
        <f t="shared" si="114"/>
        <v>USD</v>
      </c>
      <c r="E1761" t="str">
        <f>"2017"</f>
        <v>2017</v>
      </c>
      <c r="F1761" t="str">
        <f>"Atta-ur-Rahman"</f>
        <v>Atta-ur-Rahman</v>
      </c>
      <c r="G1761" t="str">
        <f>"dehkadehketab"</f>
        <v>dehkadehketab</v>
      </c>
    </row>
    <row r="1762" spans="1:7" x14ac:dyDescent="0.25">
      <c r="A1762" t="str">
        <f>"Studies in Natural Products Chemistry, Volume56"</f>
        <v>Studies in Natural Products Chemistry, Volume56</v>
      </c>
      <c r="B1762" t="str">
        <f>"9780444640574"</f>
        <v>9780444640574</v>
      </c>
      <c r="C1762">
        <v>265.5</v>
      </c>
      <c r="D1762" t="str">
        <f t="shared" si="114"/>
        <v>USD</v>
      </c>
      <c r="E1762" t="str">
        <f>"2018"</f>
        <v>2018</v>
      </c>
      <c r="F1762" t="str">
        <f>"Atta-ur-Rahman"</f>
        <v>Atta-ur-Rahman</v>
      </c>
      <c r="G1762" t="str">
        <f>"dehkadehketab"</f>
        <v>dehkadehketab</v>
      </c>
    </row>
    <row r="1763" spans="1:7" x14ac:dyDescent="0.25">
      <c r="A1763" t="str">
        <f>"Studies in Natural Products Chemistry, Volume57"</f>
        <v>Studies in Natural Products Chemistry, Volume57</v>
      </c>
      <c r="B1763" t="str">
        <f>"9780444639967"</f>
        <v>9780444639967</v>
      </c>
      <c r="C1763">
        <v>265.5</v>
      </c>
      <c r="D1763" t="str">
        <f t="shared" si="114"/>
        <v>USD</v>
      </c>
      <c r="E1763" t="str">
        <f>"2018"</f>
        <v>2018</v>
      </c>
      <c r="F1763" t="str">
        <f>"Atta-ur-Rahman"</f>
        <v>Atta-ur-Rahman</v>
      </c>
      <c r="G1763" t="str">
        <f>"dehkadehketab"</f>
        <v>dehkadehketab</v>
      </c>
    </row>
    <row r="1764" spans="1:7" x14ac:dyDescent="0.25">
      <c r="A1764" t="str">
        <f>"Successful Drug Discovery"</f>
        <v>Successful Drug Discovery</v>
      </c>
      <c r="B1764" t="str">
        <f>"9783527336852"</f>
        <v>9783527336852</v>
      </c>
      <c r="C1764">
        <v>152</v>
      </c>
      <c r="D1764" t="str">
        <f t="shared" si="114"/>
        <v>USD</v>
      </c>
      <c r="E1764" t="str">
        <f>"2015"</f>
        <v>2015</v>
      </c>
      <c r="F1764" t="str">
        <f>"Fischer"</f>
        <v>Fischer</v>
      </c>
      <c r="G1764" t="str">
        <f>"avanddanesh"</f>
        <v>avanddanesh</v>
      </c>
    </row>
    <row r="1765" spans="1:7" x14ac:dyDescent="0.25">
      <c r="A1765" t="str">
        <f>"Successful Drug Discovery, V 2"</f>
        <v>Successful Drug Discovery, V 2</v>
      </c>
      <c r="B1765" t="str">
        <f>"9783527341153"</f>
        <v>9783527341153</v>
      </c>
      <c r="C1765">
        <v>182.8</v>
      </c>
      <c r="D1765" t="str">
        <f t="shared" si="114"/>
        <v>USD</v>
      </c>
      <c r="E1765" t="str">
        <f>"2016"</f>
        <v>2016</v>
      </c>
      <c r="F1765" t="str">
        <f>"Fischer"</f>
        <v>Fischer</v>
      </c>
      <c r="G1765" t="str">
        <f>"avanddanesh"</f>
        <v>avanddanesh</v>
      </c>
    </row>
    <row r="1766" spans="1:7" x14ac:dyDescent="0.25">
      <c r="A1766" t="str">
        <f>"Superacid Chemistry,2e"</f>
        <v>Superacid Chemistry,2e</v>
      </c>
      <c r="B1766" t="str">
        <f>"9780471596684"</f>
        <v>9780471596684</v>
      </c>
      <c r="C1766">
        <v>81.599999999999994</v>
      </c>
      <c r="D1766" t="str">
        <f t="shared" si="114"/>
        <v>USD</v>
      </c>
      <c r="E1766" t="str">
        <f>"2009"</f>
        <v>2009</v>
      </c>
      <c r="F1766" t="str">
        <f>"Olah"</f>
        <v>Olah</v>
      </c>
      <c r="G1766" t="str">
        <f>"avanddanesh"</f>
        <v>avanddanesh</v>
      </c>
    </row>
    <row r="1767" spans="1:7" x14ac:dyDescent="0.25">
      <c r="A1767" t="str">
        <f>"Supercritical Fluid Chromatography"</f>
        <v>Supercritical Fluid Chromatography</v>
      </c>
      <c r="B1767" t="str">
        <f>"9780128092071"</f>
        <v>9780128092071</v>
      </c>
      <c r="C1767">
        <v>175.5</v>
      </c>
      <c r="D1767" t="str">
        <f t="shared" si="114"/>
        <v>USD</v>
      </c>
      <c r="E1767" t="str">
        <f>"2017"</f>
        <v>2017</v>
      </c>
      <c r="F1767" t="str">
        <f>"Poole"</f>
        <v>Poole</v>
      </c>
      <c r="G1767" t="str">
        <f>"dehkadehketab"</f>
        <v>dehkadehketab</v>
      </c>
    </row>
    <row r="1768" spans="1:7" x14ac:dyDescent="0.25">
      <c r="A1768" t="str">
        <f>"Superelectrophiles and Their Chemistry"</f>
        <v>Superelectrophiles and Their Chemistry</v>
      </c>
      <c r="B1768" t="str">
        <f>"9780470049617"</f>
        <v>9780470049617</v>
      </c>
      <c r="C1768">
        <v>76.400000000000006</v>
      </c>
      <c r="D1768" t="str">
        <f t="shared" si="114"/>
        <v>USD</v>
      </c>
      <c r="E1768" t="str">
        <f>"2008"</f>
        <v>2008</v>
      </c>
      <c r="F1768" t="str">
        <f>"Olah"</f>
        <v>Olah</v>
      </c>
      <c r="G1768" t="str">
        <f>"safirketab"</f>
        <v>safirketab</v>
      </c>
    </row>
    <row r="1769" spans="1:7" x14ac:dyDescent="0.25">
      <c r="A1769" t="str">
        <f>"Superelectrophiles and Their Chemistry"</f>
        <v>Superelectrophiles and Their Chemistry</v>
      </c>
      <c r="B1769" t="str">
        <f>"9780470049617"</f>
        <v>9780470049617</v>
      </c>
      <c r="C1769">
        <v>76.400000000000006</v>
      </c>
      <c r="D1769" t="str">
        <f t="shared" si="114"/>
        <v>USD</v>
      </c>
      <c r="E1769" t="str">
        <f>"2007"</f>
        <v>2007</v>
      </c>
      <c r="F1769" t="str">
        <f>"Olah"</f>
        <v>Olah</v>
      </c>
      <c r="G1769" t="str">
        <f>"avanddanesh"</f>
        <v>avanddanesh</v>
      </c>
    </row>
    <row r="1770" spans="1:7" x14ac:dyDescent="0.25">
      <c r="A1770" t="str">
        <f>"Super-Resolution Microscopy: A Practical Guide"</f>
        <v>Super-Resolution Microscopy: A Practical Guide</v>
      </c>
      <c r="B1770" t="str">
        <f>"9783527341337"</f>
        <v>9783527341337</v>
      </c>
      <c r="C1770">
        <v>121.5</v>
      </c>
      <c r="D1770" t="str">
        <f t="shared" si="114"/>
        <v>USD</v>
      </c>
      <c r="E1770" t="str">
        <f>"2017"</f>
        <v>2017</v>
      </c>
      <c r="F1770" t="str">
        <f>"Birk"</f>
        <v>Birk</v>
      </c>
      <c r="G1770" t="str">
        <f>"avanddanesh"</f>
        <v>avanddanesh</v>
      </c>
    </row>
    <row r="1771" spans="1:7" x14ac:dyDescent="0.25">
      <c r="A1771" t="str">
        <f>"Supramolecular Chemistry, Volume71"</f>
        <v>Supramolecular Chemistry, Volume71</v>
      </c>
      <c r="B1771" t="str">
        <f>"9780128150962"</f>
        <v>9780128150962</v>
      </c>
      <c r="C1771">
        <v>246.6</v>
      </c>
      <c r="D1771" t="str">
        <f t="shared" si="114"/>
        <v>USD</v>
      </c>
      <c r="E1771" t="str">
        <f>"2018"</f>
        <v>2018</v>
      </c>
      <c r="F1771" t="str">
        <f>"van Eldik and Puchta"</f>
        <v>van Eldik and Puchta</v>
      </c>
      <c r="G1771" t="str">
        <f>"dehkadehketab"</f>
        <v>dehkadehketab</v>
      </c>
    </row>
    <row r="1772" spans="1:7" x14ac:dyDescent="0.25">
      <c r="A1772" t="str">
        <f>"Supramolecular Chemistry: From Molecules to Nanomaterials, 8V Set"</f>
        <v>Supramolecular Chemistry: From Molecules to Nanomaterials, 8V Set</v>
      </c>
      <c r="B1772" t="str">
        <f>"9780470746400"</f>
        <v>9780470746400</v>
      </c>
      <c r="C1772">
        <v>1245</v>
      </c>
      <c r="D1772" t="str">
        <f t="shared" si="114"/>
        <v>USD</v>
      </c>
      <c r="E1772" t="str">
        <f>"2012"</f>
        <v>2012</v>
      </c>
      <c r="F1772" t="str">
        <f>"Steed"</f>
        <v>Steed</v>
      </c>
      <c r="G1772" t="str">
        <f>"avanddanesh"</f>
        <v>avanddanesh</v>
      </c>
    </row>
    <row r="1773" spans="1:7" x14ac:dyDescent="0.25">
      <c r="A1773" t="str">
        <f>"Supramolecular Photochemistry : Faraday Discussion"</f>
        <v>Supramolecular Photochemistry : Faraday Discussion</v>
      </c>
      <c r="B1773" t="str">
        <f>"9781782624639"</f>
        <v>9781782624639</v>
      </c>
      <c r="C1773">
        <v>110.5</v>
      </c>
      <c r="D1773" t="str">
        <f>"GBP"</f>
        <v>GBP</v>
      </c>
      <c r="E1773" t="str">
        <f>"2016"</f>
        <v>2016</v>
      </c>
      <c r="F1773" t="str">
        <f>"Royal Society of Che"</f>
        <v>Royal Society of Che</v>
      </c>
      <c r="G1773" t="str">
        <f>"arzinbooks"</f>
        <v>arzinbooks</v>
      </c>
    </row>
    <row r="1774" spans="1:7" x14ac:dyDescent="0.25">
      <c r="A1774" t="str">
        <f>"Supramolecular Soft Matter: Applications in Materials and Organic Electronics"</f>
        <v>Supramolecular Soft Matter: Applications in Materials and Organic Electronics</v>
      </c>
      <c r="B1774" t="str">
        <f>"9780470559741"</f>
        <v>9780470559741</v>
      </c>
      <c r="C1774">
        <v>58</v>
      </c>
      <c r="D1774" t="str">
        <f>"USD"</f>
        <v>USD</v>
      </c>
      <c r="E1774" t="str">
        <f>"2011"</f>
        <v>2011</v>
      </c>
      <c r="F1774" t="str">
        <f>"Nakanishi"</f>
        <v>Nakanishi</v>
      </c>
      <c r="G1774" t="str">
        <f>"avanddanesh"</f>
        <v>avanddanesh</v>
      </c>
    </row>
    <row r="1775" spans="1:7" x14ac:dyDescent="0.25">
      <c r="A1775" t="str">
        <f>"SURFACE ACTIVITY OF PETROLEUM DERIVED LUBRICANTS (CHEMI"</f>
        <v>SURFACE ACTIVITY OF PETROLEUM DERIVED LUBRICANTS (CHEMI</v>
      </c>
      <c r="B1775" t="str">
        <f>"9781439803400"</f>
        <v>9781439803400</v>
      </c>
      <c r="C1775">
        <v>36</v>
      </c>
      <c r="D1775" t="str">
        <f>"GBP"</f>
        <v>GBP</v>
      </c>
      <c r="E1775" t="str">
        <f>"2011"</f>
        <v>2011</v>
      </c>
      <c r="F1775" t="str">
        <f>"LILIANNA Z. PILLON"</f>
        <v>LILIANNA Z. PILLON</v>
      </c>
      <c r="G1775" t="str">
        <f>"AsarBartar"</f>
        <v>AsarBartar</v>
      </c>
    </row>
    <row r="1776" spans="1:7" x14ac:dyDescent="0.25">
      <c r="A1776" t="str">
        <f>"Surface and Interfacial Forces"</f>
        <v>Surface and Interfacial Forces</v>
      </c>
      <c r="B1776" t="str">
        <f>"9783527408498"</f>
        <v>9783527408498</v>
      </c>
      <c r="C1776">
        <v>69.290000000000006</v>
      </c>
      <c r="D1776" t="str">
        <f>"USD"</f>
        <v>USD</v>
      </c>
      <c r="E1776" t="str">
        <f>"2010"</f>
        <v>2010</v>
      </c>
      <c r="F1776" t="str">
        <f>"Butt"</f>
        <v>Butt</v>
      </c>
      <c r="G1776" t="str">
        <f>"safirketab"</f>
        <v>safirketab</v>
      </c>
    </row>
    <row r="1777" spans="1:7" x14ac:dyDescent="0.25">
      <c r="A1777" t="str">
        <f>"Surface Chemistry of Surfactants and Polymers"</f>
        <v>Surface Chemistry of Surfactants and Polymers</v>
      </c>
      <c r="B1777" t="str">
        <f>"9781119961246"</f>
        <v>9781119961246</v>
      </c>
      <c r="C1777">
        <v>71.3</v>
      </c>
      <c r="D1777" t="str">
        <f>"USD"</f>
        <v>USD</v>
      </c>
      <c r="E1777" t="str">
        <f>"2014"</f>
        <v>2014</v>
      </c>
      <c r="F1777" t="str">
        <f>"Kronberg"</f>
        <v>Kronberg</v>
      </c>
      <c r="G1777" t="str">
        <f>"avanddanesh"</f>
        <v>avanddanesh</v>
      </c>
    </row>
    <row r="1778" spans="1:7" x14ac:dyDescent="0.25">
      <c r="A1778" t="str">
        <f>"Surface Enhanced Raman Spectroscopy: Analytical, Biophysical and Life Science Applications"</f>
        <v>Surface Enhanced Raman Spectroscopy: Analytical, Biophysical and Life Science Applications</v>
      </c>
      <c r="B1778" t="str">
        <f>"9783527325672"</f>
        <v>9783527325672</v>
      </c>
      <c r="C1778">
        <v>126</v>
      </c>
      <c r="D1778" t="str">
        <f>"USD"</f>
        <v>USD</v>
      </c>
      <c r="E1778" t="str">
        <f>"2011"</f>
        <v>2011</v>
      </c>
      <c r="F1778" t="str">
        <f>"SchlÃ¼cker"</f>
        <v>SchlÃ¼cker</v>
      </c>
      <c r="G1778" t="str">
        <f>"safirketab"</f>
        <v>safirketab</v>
      </c>
    </row>
    <row r="1779" spans="1:7" x14ac:dyDescent="0.25">
      <c r="A1779" t="str">
        <f>"Surface Plasmon Enhanced, Coupled and Controlled Fluorescence"</f>
        <v>Surface Plasmon Enhanced, Coupled and Controlled Fluorescence</v>
      </c>
      <c r="B1779" t="str">
        <f>"9781118027936"</f>
        <v>9781118027936</v>
      </c>
      <c r="C1779">
        <v>175.5</v>
      </c>
      <c r="D1779" t="str">
        <f>"USD"</f>
        <v>USD</v>
      </c>
      <c r="E1779" t="str">
        <f>"2017"</f>
        <v>2017</v>
      </c>
      <c r="F1779" t="str">
        <f>"Geddes"</f>
        <v>Geddes</v>
      </c>
      <c r="G1779" t="str">
        <f>"avanddanesh"</f>
        <v>avanddanesh</v>
      </c>
    </row>
    <row r="1780" spans="1:7" x14ac:dyDescent="0.25">
      <c r="A1780" t="str">
        <f>"Surface Science Tools for Nanomaterials Characterization"</f>
        <v>Surface Science Tools for Nanomaterials Characterization</v>
      </c>
      <c r="B1780" t="str">
        <f>"9783662445501"</f>
        <v>9783662445501</v>
      </c>
      <c r="C1780">
        <v>341.99</v>
      </c>
      <c r="D1780" t="str">
        <f>"EUR"</f>
        <v>EUR</v>
      </c>
      <c r="E1780" t="str">
        <f>"2015"</f>
        <v>2015</v>
      </c>
      <c r="F1780" t="str">
        <f>"Kumar"</f>
        <v>Kumar</v>
      </c>
      <c r="G1780" t="str">
        <f>"negarestanabi"</f>
        <v>negarestanabi</v>
      </c>
    </row>
    <row r="1781" spans="1:7" x14ac:dyDescent="0.25">
      <c r="A1781" t="str">
        <f>"Surface Treatments for Biological, Chemical and Physical Applications"</f>
        <v>Surface Treatments for Biological, Chemical and Physical Applications</v>
      </c>
      <c r="B1781" t="str">
        <f>"9783527340835"</f>
        <v>9783527340835</v>
      </c>
      <c r="C1781">
        <v>121.5</v>
      </c>
      <c r="D1781" t="str">
        <f>"USD"</f>
        <v>USD</v>
      </c>
      <c r="E1781" t="str">
        <f>"2017"</f>
        <v>2017</v>
      </c>
      <c r="F1781" t="str">
        <f>"GÃ¼rsoy"</f>
        <v>GÃ¼rsoy</v>
      </c>
      <c r="G1781" t="str">
        <f>"avanddanesh"</f>
        <v>avanddanesh</v>
      </c>
    </row>
    <row r="1782" spans="1:7" x14ac:dyDescent="0.25">
      <c r="A1782" t="str">
        <f>"Surface Water Photochemistry"</f>
        <v>Surface Water Photochemistry</v>
      </c>
      <c r="B1782" t="str">
        <f>"9781782620433"</f>
        <v>9781782620433</v>
      </c>
      <c r="C1782">
        <v>103.4</v>
      </c>
      <c r="D1782" t="str">
        <f>"GBP"</f>
        <v>GBP</v>
      </c>
      <c r="E1782" t="str">
        <f>"2016"</f>
        <v>2016</v>
      </c>
      <c r="F1782" t="str">
        <f>"Calza, Vione"</f>
        <v>Calza, Vione</v>
      </c>
      <c r="G1782" t="str">
        <f>"arzinbooks"</f>
        <v>arzinbooks</v>
      </c>
    </row>
    <row r="1783" spans="1:7" x14ac:dyDescent="0.25">
      <c r="A1783" t="str">
        <f>"Surface-Enhanced Vibrational Spectroscopy"</f>
        <v>Surface-Enhanced Vibrational Spectroscopy</v>
      </c>
      <c r="B1783" t="str">
        <f>"9780471607311"</f>
        <v>9780471607311</v>
      </c>
      <c r="C1783">
        <v>62</v>
      </c>
      <c r="D1783" t="str">
        <f>"USD"</f>
        <v>USD</v>
      </c>
      <c r="E1783" t="str">
        <f>"2006"</f>
        <v>2006</v>
      </c>
      <c r="F1783" t="str">
        <f>"Aroca"</f>
        <v>Aroca</v>
      </c>
      <c r="G1783" t="str">
        <f>"safirketab"</f>
        <v>safirketab</v>
      </c>
    </row>
    <row r="1784" spans="1:7" x14ac:dyDescent="0.25">
      <c r="A1784" t="str">
        <f>"Surface-Enhanced Vibrational Spectroscopy"</f>
        <v>Surface-Enhanced Vibrational Spectroscopy</v>
      </c>
      <c r="B1784" t="str">
        <f>"9780471607311"</f>
        <v>9780471607311</v>
      </c>
      <c r="C1784">
        <v>62</v>
      </c>
      <c r="D1784" t="str">
        <f>"USD"</f>
        <v>USD</v>
      </c>
      <c r="E1784" t="str">
        <f>"2006"</f>
        <v>2006</v>
      </c>
      <c r="F1784" t="str">
        <f>"Aroca"</f>
        <v>Aroca</v>
      </c>
      <c r="G1784" t="str">
        <f>"avanddanesh"</f>
        <v>avanddanesh</v>
      </c>
    </row>
    <row r="1785" spans="1:7" x14ac:dyDescent="0.25">
      <c r="A1785" t="str">
        <f>"Surfaces and Interfaces of Biomimetic Superhydrophobic Materials"</f>
        <v>Surfaces and Interfaces of Biomimetic Superhydrophobic Materials</v>
      </c>
      <c r="B1785" t="str">
        <f>"9783527342648"</f>
        <v>9783527342648</v>
      </c>
      <c r="C1785">
        <v>184.5</v>
      </c>
      <c r="D1785" t="str">
        <f>"USD"</f>
        <v>USD</v>
      </c>
      <c r="E1785" t="str">
        <f>"2017"</f>
        <v>2017</v>
      </c>
      <c r="F1785" t="str">
        <f>"Guo"</f>
        <v>Guo</v>
      </c>
      <c r="G1785" t="str">
        <f>"avanddanesh"</f>
        <v>avanddanesh</v>
      </c>
    </row>
    <row r="1786" spans="1:7" x14ac:dyDescent="0.25">
      <c r="A1786" t="str">
        <f>"Survival Guide to Organic Chemistry: Bridging the Gap from General Chemistry"</f>
        <v>Survival Guide to Organic Chemistry: Bridging the Gap from General Chemistry</v>
      </c>
      <c r="B1786" t="str">
        <f>"9781498777070"</f>
        <v>9781498777070</v>
      </c>
      <c r="C1786">
        <v>69.7</v>
      </c>
      <c r="D1786" t="str">
        <f>"GBP"</f>
        <v>GBP</v>
      </c>
      <c r="E1786" t="str">
        <f>"2016"</f>
        <v>2016</v>
      </c>
      <c r="F1786" t="str">
        <f>"Patrick E. McMahon"</f>
        <v>Patrick E. McMahon</v>
      </c>
      <c r="G1786" t="str">
        <f>"AsarBartar"</f>
        <v>AsarBartar</v>
      </c>
    </row>
    <row r="1787" spans="1:7" x14ac:dyDescent="0.25">
      <c r="A1787" t="str">
        <f>"Sustainability ; 5 Volumes Set"</f>
        <v>Sustainability ; 5 Volumes Set</v>
      </c>
      <c r="B1787" t="str">
        <f>"9781782620990"</f>
        <v>9781782620990</v>
      </c>
      <c r="C1787">
        <v>363</v>
      </c>
      <c r="D1787" t="str">
        <f>"GBP"</f>
        <v>GBP</v>
      </c>
      <c r="E1787" t="str">
        <f>"2014"</f>
        <v>2014</v>
      </c>
      <c r="F1787" t="str">
        <f>"Royal Society of Che"</f>
        <v>Royal Society of Che</v>
      </c>
      <c r="G1787" t="str">
        <f>"arzinbooks"</f>
        <v>arzinbooks</v>
      </c>
    </row>
    <row r="1788" spans="1:7" x14ac:dyDescent="0.25">
      <c r="A1788" t="str">
        <f>"Sustainability Assessment of Renewables-Based Products: Methods and Case Studies"</f>
        <v>Sustainability Assessment of Renewables-Based Products: Methods and Case Studies</v>
      </c>
      <c r="B1788" t="str">
        <f>"9781118933947"</f>
        <v>9781118933947</v>
      </c>
      <c r="C1788">
        <v>106.3</v>
      </c>
      <c r="D1788" t="str">
        <f t="shared" ref="D1788:D1796" si="115">"USD"</f>
        <v>USD</v>
      </c>
      <c r="E1788" t="str">
        <f>"2016"</f>
        <v>2016</v>
      </c>
      <c r="F1788" t="str">
        <f>"Dewulf"</f>
        <v>Dewulf</v>
      </c>
      <c r="G1788" t="str">
        <f t="shared" ref="G1788:G1796" si="116">"avanddanesh"</f>
        <v>avanddanesh</v>
      </c>
    </row>
    <row r="1789" spans="1:7" x14ac:dyDescent="0.25">
      <c r="A1789" t="str">
        <f>"Sustainable and Green Electrochemical Science and Technology"</f>
        <v>Sustainable and Green Electrochemical Science and Technology</v>
      </c>
      <c r="B1789" t="str">
        <f>"9781119972440"</f>
        <v>9781119972440</v>
      </c>
      <c r="C1789">
        <v>130.5</v>
      </c>
      <c r="D1789" t="str">
        <f t="shared" si="115"/>
        <v>USD</v>
      </c>
      <c r="E1789" t="str">
        <f>"2017"</f>
        <v>2017</v>
      </c>
      <c r="F1789" t="str">
        <f>"Scott"</f>
        <v>Scott</v>
      </c>
      <c r="G1789" t="str">
        <f t="shared" si="116"/>
        <v>avanddanesh</v>
      </c>
    </row>
    <row r="1790" spans="1:7" x14ac:dyDescent="0.25">
      <c r="A1790" t="str">
        <f>"Sustainable Carbon Materials from Hydrothermal Processes"</f>
        <v>Sustainable Carbon Materials from Hydrothermal Processes</v>
      </c>
      <c r="B1790" t="str">
        <f>"9781119975397"</f>
        <v>9781119975397</v>
      </c>
      <c r="C1790">
        <v>91</v>
      </c>
      <c r="D1790" t="str">
        <f t="shared" si="115"/>
        <v>USD</v>
      </c>
      <c r="E1790" t="str">
        <f>"2013"</f>
        <v>2013</v>
      </c>
      <c r="F1790" t="str">
        <f>"Titirici"</f>
        <v>Titirici</v>
      </c>
      <c r="G1790" t="str">
        <f t="shared" si="116"/>
        <v>avanddanesh</v>
      </c>
    </row>
    <row r="1791" spans="1:7" x14ac:dyDescent="0.25">
      <c r="A1791" t="str">
        <f>"Sustainable Catalysis: Challenges and Practices for the Pharmaceutical and Fine Chemical Industries"</f>
        <v>Sustainable Catalysis: Challenges and Practices for the Pharmaceutical and Fine Chemical Industries</v>
      </c>
      <c r="B1791" t="str">
        <f>"9781118155424"</f>
        <v>9781118155424</v>
      </c>
      <c r="C1791">
        <v>86.5</v>
      </c>
      <c r="D1791" t="str">
        <f t="shared" si="115"/>
        <v>USD</v>
      </c>
      <c r="E1791" t="str">
        <f>"2013"</f>
        <v>2013</v>
      </c>
      <c r="F1791" t="str">
        <f>"Dunn"</f>
        <v>Dunn</v>
      </c>
      <c r="G1791" t="str">
        <f t="shared" si="116"/>
        <v>avanddanesh</v>
      </c>
    </row>
    <row r="1792" spans="1:7" x14ac:dyDescent="0.25">
      <c r="A1792" t="str">
        <f>"Sustainable Catalysis: Energy-Efficient Reactions and Applications"</f>
        <v>Sustainable Catalysis: Energy-Efficient Reactions and Applications</v>
      </c>
      <c r="B1792" t="str">
        <f>"9783527338672"</f>
        <v>9783527338672</v>
      </c>
      <c r="C1792">
        <v>157.5</v>
      </c>
      <c r="D1792" t="str">
        <f t="shared" si="115"/>
        <v>USD</v>
      </c>
      <c r="E1792" t="str">
        <f>"2018"</f>
        <v>2018</v>
      </c>
      <c r="F1792" t="str">
        <f>"Luque"</f>
        <v>Luque</v>
      </c>
      <c r="G1792" t="str">
        <f t="shared" si="116"/>
        <v>avanddanesh</v>
      </c>
    </row>
    <row r="1793" spans="1:7" x14ac:dyDescent="0.25">
      <c r="A1793" t="str">
        <f>"Sustainable Flow Chemistry: Methods and Applications"</f>
        <v>Sustainable Flow Chemistry: Methods and Applications</v>
      </c>
      <c r="B1793" t="str">
        <f>"9783527338528"</f>
        <v>9783527338528</v>
      </c>
      <c r="C1793">
        <v>171</v>
      </c>
      <c r="D1793" t="str">
        <f t="shared" si="115"/>
        <v>USD</v>
      </c>
      <c r="E1793" t="str">
        <f>"2017"</f>
        <v>2017</v>
      </c>
      <c r="F1793" t="str">
        <f>"Vaccaro"</f>
        <v>Vaccaro</v>
      </c>
      <c r="G1793" t="str">
        <f t="shared" si="116"/>
        <v>avanddanesh</v>
      </c>
    </row>
    <row r="1794" spans="1:7" x14ac:dyDescent="0.25">
      <c r="A1794" t="str">
        <f>"Sustainable Inorganic Chemistry"</f>
        <v>Sustainable Inorganic Chemistry</v>
      </c>
      <c r="B1794" t="str">
        <f>"9781118703427"</f>
        <v>9781118703427</v>
      </c>
      <c r="C1794">
        <v>161.5</v>
      </c>
      <c r="D1794" t="str">
        <f t="shared" si="115"/>
        <v>USD</v>
      </c>
      <c r="E1794" t="str">
        <f>"2016"</f>
        <v>2016</v>
      </c>
      <c r="F1794" t="str">
        <f>"Atwood"</f>
        <v>Atwood</v>
      </c>
      <c r="G1794" t="str">
        <f t="shared" si="116"/>
        <v>avanddanesh</v>
      </c>
    </row>
    <row r="1795" spans="1:7" x14ac:dyDescent="0.25">
      <c r="A1795" t="str">
        <f>"Sustainable Laboratory Handbook: Design, Equipment, and Operation"</f>
        <v>Sustainable Laboratory Handbook: Design, Equipment, and Operation</v>
      </c>
      <c r="B1795" t="str">
        <f>"9783527335671"</f>
        <v>9783527335671</v>
      </c>
      <c r="C1795">
        <v>172</v>
      </c>
      <c r="D1795" t="str">
        <f t="shared" si="115"/>
        <v>USD</v>
      </c>
      <c r="E1795" t="str">
        <f>"2015"</f>
        <v>2015</v>
      </c>
      <c r="F1795" t="str">
        <f>"Dittrich"</f>
        <v>Dittrich</v>
      </c>
      <c r="G1795" t="str">
        <f t="shared" si="116"/>
        <v>avanddanesh</v>
      </c>
    </row>
    <row r="1796" spans="1:7" x14ac:dyDescent="0.25">
      <c r="A1796" t="str">
        <f>"Sustainable Polymers from Biomass"</f>
        <v>Sustainable Polymers from Biomass</v>
      </c>
      <c r="B1796" t="str">
        <f>"9783527340163"</f>
        <v>9783527340163</v>
      </c>
      <c r="C1796">
        <v>171</v>
      </c>
      <c r="D1796" t="str">
        <f t="shared" si="115"/>
        <v>USD</v>
      </c>
      <c r="E1796" t="str">
        <f>"2017"</f>
        <v>2017</v>
      </c>
      <c r="F1796" t="str">
        <f>"Tang"</f>
        <v>Tang</v>
      </c>
      <c r="G1796" t="str">
        <f t="shared" si="116"/>
        <v>avanddanesh</v>
      </c>
    </row>
    <row r="1797" spans="1:7" x14ac:dyDescent="0.25">
      <c r="A1797" t="str">
        <f>"Sustainable Solvents : Perspectives from Research, Business and International Policy"</f>
        <v>Sustainable Solvents : Perspectives from Research, Business and International Policy</v>
      </c>
      <c r="B1797" t="str">
        <f>"9781782623359"</f>
        <v>9781782623359</v>
      </c>
      <c r="C1797">
        <v>152.19999999999999</v>
      </c>
      <c r="D1797" t="str">
        <f>"GBP"</f>
        <v>GBP</v>
      </c>
      <c r="E1797" t="str">
        <f>"2017"</f>
        <v>2017</v>
      </c>
      <c r="F1797" t="str">
        <f>"James H Clark,Andrew"</f>
        <v>James H Clark,Andrew</v>
      </c>
      <c r="G1797" t="str">
        <f>"arzinbooks"</f>
        <v>arzinbooks</v>
      </c>
    </row>
    <row r="1798" spans="1:7" x14ac:dyDescent="0.25">
      <c r="A1798" t="str">
        <f>"Sustainable Value Creation in the Fine and Speciality Chemicals Industry"</f>
        <v>Sustainable Value Creation in the Fine and Speciality Chemicals Industry</v>
      </c>
      <c r="B1798" t="str">
        <f>"9781118539675"</f>
        <v>9781118539675</v>
      </c>
      <c r="C1798">
        <v>86.3</v>
      </c>
      <c r="D1798" t="str">
        <f>"USD"</f>
        <v>USD</v>
      </c>
      <c r="E1798" t="str">
        <f>"2014"</f>
        <v>2014</v>
      </c>
      <c r="F1798" t="str">
        <f>"Rajagopal"</f>
        <v>Rajagopal</v>
      </c>
      <c r="G1798" t="str">
        <f>"avanddanesh"</f>
        <v>avanddanesh</v>
      </c>
    </row>
    <row r="1799" spans="1:7" x14ac:dyDescent="0.25">
      <c r="A1799" t="str">
        <f>"Symmetry, Spectroscopy, and Crystallography: The Structural Nexus"</f>
        <v>Symmetry, Spectroscopy, and Crystallography: The Structural Nexus</v>
      </c>
      <c r="B1799" t="str">
        <f>"9783527337491"</f>
        <v>9783527337491</v>
      </c>
      <c r="C1799">
        <v>108</v>
      </c>
      <c r="D1799" t="str">
        <f>"USD"</f>
        <v>USD</v>
      </c>
      <c r="E1799" t="str">
        <f>"2015"</f>
        <v>2015</v>
      </c>
      <c r="F1799" t="str">
        <f>"Glaser"</f>
        <v>Glaser</v>
      </c>
      <c r="G1799" t="str">
        <f>"avanddanesh"</f>
        <v>avanddanesh</v>
      </c>
    </row>
    <row r="1800" spans="1:7" x14ac:dyDescent="0.25">
      <c r="A1800" t="str">
        <f>"SYMMETRY-ADAPTED BASIS SETS: AUTOMATIC GENERATION FOR PROBLEMS IN CHEMISTRY AND PHYSICS"</f>
        <v>SYMMETRY-ADAPTED BASIS SETS: AUTOMATIC GENERATION FOR PROBLEMS IN CHEMISTRY AND PHYSICS</v>
      </c>
      <c r="B1800" t="str">
        <f>"9789814350464"</f>
        <v>9789814350464</v>
      </c>
      <c r="C1800">
        <v>48</v>
      </c>
      <c r="D1800" t="str">
        <f>"GBP"</f>
        <v>GBP</v>
      </c>
      <c r="E1800" t="str">
        <f>"2012"</f>
        <v>2012</v>
      </c>
      <c r="F1800" t="str">
        <f>"AVERY JOHN SCALES E"</f>
        <v>AVERY JOHN SCALES E</v>
      </c>
      <c r="G1800" t="str">
        <f>"AsarBartar"</f>
        <v>AsarBartar</v>
      </c>
    </row>
    <row r="1801" spans="1:7" x14ac:dyDescent="0.25">
      <c r="A1801" t="str">
        <f>"Synthesis and Applications of Inorganic Nanostructures"</f>
        <v>Synthesis and Applications of Inorganic Nanostructures</v>
      </c>
      <c r="B1801" t="str">
        <f>"9783527340279"</f>
        <v>9783527340279</v>
      </c>
      <c r="C1801">
        <v>193.5</v>
      </c>
      <c r="D1801" t="str">
        <f>"USD"</f>
        <v>USD</v>
      </c>
      <c r="E1801" t="str">
        <f>"2017"</f>
        <v>2017</v>
      </c>
      <c r="F1801" t="str">
        <f>"Cao"</f>
        <v>Cao</v>
      </c>
      <c r="G1801" t="str">
        <f>"avanddanesh"</f>
        <v>avanddanesh</v>
      </c>
    </row>
    <row r="1802" spans="1:7" x14ac:dyDescent="0.25">
      <c r="A1802" t="str">
        <f>"Synthesis of Heterocycles by Metathesis Reactions"</f>
        <v>Synthesis of Heterocycles by Metathesis Reactions</v>
      </c>
      <c r="B1802" t="str">
        <f>"9783319399393"</f>
        <v>9783319399393</v>
      </c>
      <c r="C1802">
        <v>251.99</v>
      </c>
      <c r="D1802" t="str">
        <f>"EUR"</f>
        <v>EUR</v>
      </c>
      <c r="E1802" t="str">
        <f>"2017"</f>
        <v>2017</v>
      </c>
      <c r="F1802" t="str">
        <f>"Prunet"</f>
        <v>Prunet</v>
      </c>
      <c r="G1802" t="str">
        <f>"negarestanabi"</f>
        <v>negarestanabi</v>
      </c>
    </row>
    <row r="1803" spans="1:7" x14ac:dyDescent="0.25">
      <c r="A1803" t="str">
        <f>"Synthesis of Medicinal Agents from Plants"</f>
        <v>Synthesis of Medicinal Agents from Plants</v>
      </c>
      <c r="B1803" t="str">
        <f>"9780081020555"</f>
        <v>9780081020555</v>
      </c>
      <c r="C1803">
        <v>180</v>
      </c>
      <c r="D1803" t="str">
        <f>"USD"</f>
        <v>USD</v>
      </c>
      <c r="E1803" t="str">
        <f>"2018"</f>
        <v>2018</v>
      </c>
      <c r="F1803" t="str">
        <f>"Tewari and Tiwari"</f>
        <v>Tewari and Tiwari</v>
      </c>
      <c r="G1803" t="str">
        <f>"dehkadehketab"</f>
        <v>dehkadehketab</v>
      </c>
    </row>
    <row r="1804" spans="1:7" x14ac:dyDescent="0.25">
      <c r="A1804" t="str">
        <f>"Synthesis, Properties and Mineralogy of Important Inorganic Materials"</f>
        <v>Synthesis, Properties and Mineralogy of Important Inorganic Materials</v>
      </c>
      <c r="B1804" t="str">
        <f>"9780470746110"</f>
        <v>9780470746110</v>
      </c>
      <c r="C1804">
        <v>46.5</v>
      </c>
      <c r="D1804" t="str">
        <f>"USD"</f>
        <v>USD</v>
      </c>
      <c r="E1804" t="str">
        <f>"2011"</f>
        <v>2011</v>
      </c>
      <c r="F1804" t="str">
        <f>"Warner"</f>
        <v>Warner</v>
      </c>
      <c r="G1804" t="str">
        <f>"safirketab"</f>
        <v>safirketab</v>
      </c>
    </row>
    <row r="1805" spans="1:7" x14ac:dyDescent="0.25">
      <c r="A1805" t="str">
        <f>"Synthetic Biology"</f>
        <v>Synthetic Biology</v>
      </c>
      <c r="B1805" t="str">
        <f>"9781849736831"</f>
        <v>9781849736831</v>
      </c>
      <c r="C1805">
        <v>173.3</v>
      </c>
      <c r="D1805" t="str">
        <f>"GBP"</f>
        <v>GBP</v>
      </c>
      <c r="E1805" t="str">
        <f>"2014"</f>
        <v>2014</v>
      </c>
      <c r="F1805" t="str">
        <f>"Maxim Ryadnov(Editor"</f>
        <v>Maxim Ryadnov(Editor</v>
      </c>
      <c r="G1805" t="str">
        <f>"arzinbooks"</f>
        <v>arzinbooks</v>
      </c>
    </row>
    <row r="1806" spans="1:7" x14ac:dyDescent="0.25">
      <c r="A1806" t="str">
        <f>"Synthetic Biology, 2V Set"</f>
        <v>Synthetic Biology, 2V Set</v>
      </c>
      <c r="B1806" t="str">
        <f>"9783527334827"</f>
        <v>9783527334827</v>
      </c>
      <c r="C1806">
        <v>304</v>
      </c>
      <c r="D1806" t="str">
        <f>"USD"</f>
        <v>USD</v>
      </c>
      <c r="E1806" t="str">
        <f>"2015"</f>
        <v>2015</v>
      </c>
      <c r="F1806" t="str">
        <f>"Meyers"</f>
        <v>Meyers</v>
      </c>
      <c r="G1806" t="str">
        <f>"avanddanesh"</f>
        <v>avanddanesh</v>
      </c>
    </row>
    <row r="1807" spans="1:7" x14ac:dyDescent="0.25">
      <c r="A1807" t="str">
        <f>"Synthetic Methods for Biologically Active Molecules: Exploring the Potential of Bioreductions"</f>
        <v>Synthetic Methods for Biologically Active Molecules: Exploring the Potential of Bioreductions</v>
      </c>
      <c r="B1807" t="str">
        <f>"9783527333875"</f>
        <v>9783527333875</v>
      </c>
      <c r="C1807">
        <v>131.30000000000001</v>
      </c>
      <c r="D1807" t="str">
        <f>"USD"</f>
        <v>USD</v>
      </c>
      <c r="E1807" t="str">
        <f>"2013"</f>
        <v>2013</v>
      </c>
      <c r="F1807" t="str">
        <f>"Brenna"</f>
        <v>Brenna</v>
      </c>
      <c r="G1807" t="str">
        <f>"avanddanesh"</f>
        <v>avanddanesh</v>
      </c>
    </row>
    <row r="1808" spans="1:7" x14ac:dyDescent="0.25">
      <c r="A1808" t="str">
        <f>"Synthetic Natural Gas: From Coal, Dry Biomass, and Power-to-Gas Applications"</f>
        <v>Synthetic Natural Gas: From Coal, Dry Biomass, and Power-to-Gas Applications</v>
      </c>
      <c r="B1808" t="str">
        <f>"9781118541814"</f>
        <v>9781118541814</v>
      </c>
      <c r="C1808">
        <v>127.5</v>
      </c>
      <c r="D1808" t="str">
        <f>"USD"</f>
        <v>USD</v>
      </c>
      <c r="E1808" t="str">
        <f>"2016"</f>
        <v>2016</v>
      </c>
      <c r="F1808" t="str">
        <f>"Schildhauer"</f>
        <v>Schildhauer</v>
      </c>
      <c r="G1808" t="str">
        <f>"avanddanesh"</f>
        <v>avanddanesh</v>
      </c>
    </row>
    <row r="1809" spans="1:7" x14ac:dyDescent="0.25">
      <c r="A1809" t="str">
        <f>"Tactics in Contemporary Drug Design"</f>
        <v>Tactics in Contemporary Drug Design</v>
      </c>
      <c r="B1809" t="str">
        <f>"9783642550409"</f>
        <v>9783642550409</v>
      </c>
      <c r="C1809">
        <v>179.99</v>
      </c>
      <c r="D1809" t="str">
        <f>"EUR"</f>
        <v>EUR</v>
      </c>
      <c r="E1809" t="str">
        <f>"2015"</f>
        <v>2015</v>
      </c>
      <c r="F1809" t="str">
        <f>"Meanwell"</f>
        <v>Meanwell</v>
      </c>
      <c r="G1809" t="str">
        <f>"negarestanabi"</f>
        <v>negarestanabi</v>
      </c>
    </row>
    <row r="1810" spans="1:7" x14ac:dyDescent="0.25">
      <c r="A1810" t="str">
        <f>"Taking the Lead in Patient Safety-How Healthcare Leaders Influence Behavior and Create Culture"</f>
        <v>Taking the Lead in Patient Safety-How Healthcare Leaders Influence Behavior and Create Culture</v>
      </c>
      <c r="B1810" t="str">
        <f>"9780470225394"</f>
        <v>9780470225394</v>
      </c>
      <c r="C1810">
        <v>52.46</v>
      </c>
      <c r="D1810" t="str">
        <f>"USD"</f>
        <v>USD</v>
      </c>
      <c r="E1810" t="str">
        <f>"2009"</f>
        <v>2009</v>
      </c>
      <c r="F1810" t="str">
        <f>"Krause"</f>
        <v>Krause</v>
      </c>
      <c r="G1810" t="str">
        <f>"safirketab"</f>
        <v>safirketab</v>
      </c>
    </row>
    <row r="1811" spans="1:7" x14ac:dyDescent="0.25">
      <c r="A1811" t="str">
        <f>"Tandem Mass Spectrometry of Lipids"</f>
        <v>Tandem Mass Spectrometry of Lipids</v>
      </c>
      <c r="B1811" t="str">
        <f>"9781849738279"</f>
        <v>9781849738279</v>
      </c>
      <c r="C1811">
        <v>79.8</v>
      </c>
      <c r="D1811" t="str">
        <f>"GBP"</f>
        <v>GBP</v>
      </c>
      <c r="E1811" t="str">
        <f>"2014"</f>
        <v>2014</v>
      </c>
      <c r="F1811" t="str">
        <f>"Robert C MurphyÂ Simo"</f>
        <v>Robert C MurphyÂ Simo</v>
      </c>
      <c r="G1811" t="str">
        <f>"arzinbooks"</f>
        <v>arzinbooks</v>
      </c>
    </row>
    <row r="1812" spans="1:7" x14ac:dyDescent="0.25">
      <c r="A1812" t="str">
        <f>"Taphonomy of Human Remains: Forensic Analysis of the Dead and the Depositional Environment"</f>
        <v>Taphonomy of Human Remains: Forensic Analysis of the Dead and the Depositional Environment</v>
      </c>
      <c r="B1812" t="str">
        <f>"9781118953327"</f>
        <v>9781118953327</v>
      </c>
      <c r="C1812">
        <v>103.5</v>
      </c>
      <c r="D1812" t="str">
        <f t="shared" ref="D1812:D1827" si="117">"USD"</f>
        <v>USD</v>
      </c>
      <c r="E1812" t="str">
        <f>"2017"</f>
        <v>2017</v>
      </c>
      <c r="F1812" t="str">
        <f>"Schotsmans"</f>
        <v>Schotsmans</v>
      </c>
      <c r="G1812" t="str">
        <f>"avanddanesh"</f>
        <v>avanddanesh</v>
      </c>
    </row>
    <row r="1813" spans="1:7" x14ac:dyDescent="0.25">
      <c r="A1813" t="str">
        <f>"Targeted Biomarker Quantitation by LC-MS"</f>
        <v>Targeted Biomarker Quantitation by LC-MS</v>
      </c>
      <c r="B1813" t="str">
        <f>"9781119103066"</f>
        <v>9781119103066</v>
      </c>
      <c r="C1813">
        <v>175.5</v>
      </c>
      <c r="D1813" t="str">
        <f t="shared" si="117"/>
        <v>USD</v>
      </c>
      <c r="E1813" t="str">
        <f>"2017"</f>
        <v>2017</v>
      </c>
      <c r="F1813" t="str">
        <f>"Weng"</f>
        <v>Weng</v>
      </c>
      <c r="G1813" t="str">
        <f>"avanddanesh"</f>
        <v>avanddanesh</v>
      </c>
    </row>
    <row r="1814" spans="1:7" x14ac:dyDescent="0.25">
      <c r="A1814" t="str">
        <f>"Technology and Emergency Management,2e"</f>
        <v>Technology and Emergency Management,2e</v>
      </c>
      <c r="B1814" t="str">
        <f>"9781119234081"</f>
        <v>9781119234081</v>
      </c>
      <c r="C1814">
        <v>72</v>
      </c>
      <c r="D1814" t="str">
        <f t="shared" si="117"/>
        <v>USD</v>
      </c>
      <c r="E1814" t="str">
        <f>"2017"</f>
        <v>2017</v>
      </c>
      <c r="F1814" t="str">
        <f>"Pine"</f>
        <v>Pine</v>
      </c>
      <c r="G1814" t="str">
        <f>"avanddanesh"</f>
        <v>avanddanesh</v>
      </c>
    </row>
    <row r="1815" spans="1:7" x14ac:dyDescent="0.25">
      <c r="A1815" t="str">
        <f>"Telomerases: Chemistry, Biology and Clinical Applications"</f>
        <v>Telomerases: Chemistry, Biology and Clinical Applications</v>
      </c>
      <c r="B1815" t="str">
        <f>"9780470592045"</f>
        <v>9780470592045</v>
      </c>
      <c r="C1815">
        <v>82.2</v>
      </c>
      <c r="D1815" t="str">
        <f t="shared" si="117"/>
        <v>USD</v>
      </c>
      <c r="E1815" t="str">
        <f>"2012"</f>
        <v>2012</v>
      </c>
      <c r="F1815" t="str">
        <f>"Lue"</f>
        <v>Lue</v>
      </c>
      <c r="G1815" t="str">
        <f>"avanddanesh"</f>
        <v>avanddanesh</v>
      </c>
    </row>
    <row r="1816" spans="1:7" x14ac:dyDescent="0.25">
      <c r="A1816" t="str">
        <f>"Texbook Of Bio-Organic Chemistry"</f>
        <v>Texbook Of Bio-Organic Chemistry</v>
      </c>
      <c r="B1816" t="str">
        <f>"9788183568326"</f>
        <v>9788183568326</v>
      </c>
      <c r="C1816">
        <v>13.75</v>
      </c>
      <c r="D1816" t="str">
        <f t="shared" si="117"/>
        <v>USD</v>
      </c>
      <c r="E1816" t="str">
        <f>"2011"</f>
        <v>2011</v>
      </c>
      <c r="F1816" t="str">
        <f>"Iqbal"</f>
        <v>Iqbal</v>
      </c>
      <c r="G1816" t="str">
        <f>"Parsian Publication"</f>
        <v>Parsian Publication</v>
      </c>
    </row>
    <row r="1817" spans="1:7" x14ac:dyDescent="0.25">
      <c r="A1817" t="str">
        <f>"Text Book Of Coordination Chemistry"</f>
        <v>Text Book Of Coordination Chemistry</v>
      </c>
      <c r="B1817" t="str">
        <f>"9788183562232"</f>
        <v>9788183562232</v>
      </c>
      <c r="C1817">
        <v>15</v>
      </c>
      <c r="D1817" t="str">
        <f t="shared" si="117"/>
        <v>USD</v>
      </c>
      <c r="E1817" t="str">
        <f>"2007"</f>
        <v>2007</v>
      </c>
      <c r="F1817" t="str">
        <f>"Sharma"</f>
        <v>Sharma</v>
      </c>
      <c r="G1817" t="str">
        <f>"kowkab"</f>
        <v>kowkab</v>
      </c>
    </row>
    <row r="1818" spans="1:7" x14ac:dyDescent="0.25">
      <c r="A1818" t="str">
        <f>"Textbook of Biochemistry with Clinical Correlations,7e"</f>
        <v>Textbook of Biochemistry with Clinical Correlations,7e</v>
      </c>
      <c r="B1818" t="str">
        <f>"9780470281734"</f>
        <v>9780470281734</v>
      </c>
      <c r="C1818">
        <v>21</v>
      </c>
      <c r="D1818" t="str">
        <f t="shared" si="117"/>
        <v>USD</v>
      </c>
      <c r="E1818" t="str">
        <f>"2010"</f>
        <v>2010</v>
      </c>
      <c r="F1818" t="str">
        <f>"Devlin"</f>
        <v>Devlin</v>
      </c>
      <c r="G1818" t="str">
        <f>"avanddanesh"</f>
        <v>avanddanesh</v>
      </c>
    </row>
    <row r="1819" spans="1:7" x14ac:dyDescent="0.25">
      <c r="A1819" t="str">
        <f>"Textbook of Biochemistry, 6/e "</f>
        <v xml:space="preserve">Textbook of Biochemistry, 6/e </v>
      </c>
      <c r="B1819" t="str">
        <f>"9788123927930"</f>
        <v>9788123927930</v>
      </c>
      <c r="C1819">
        <v>19.8</v>
      </c>
      <c r="D1819" t="str">
        <f t="shared" si="117"/>
        <v>USD</v>
      </c>
      <c r="E1819" t="str">
        <f>"2015"</f>
        <v>2015</v>
      </c>
      <c r="F1819" t="str">
        <f>"Singh"</f>
        <v>Singh</v>
      </c>
      <c r="G1819" t="str">
        <f>"jahanadib"</f>
        <v>jahanadib</v>
      </c>
    </row>
    <row r="1820" spans="1:7" x14ac:dyDescent="0.25">
      <c r="A1820" t="str">
        <f>"Textbook of Engineering Chemistry, 3/e"</f>
        <v>Textbook of Engineering Chemistry, 3/e</v>
      </c>
      <c r="B1820" t="str">
        <f>"9789384726034"</f>
        <v>9789384726034</v>
      </c>
      <c r="C1820">
        <v>13.6</v>
      </c>
      <c r="D1820" t="str">
        <f t="shared" si="117"/>
        <v>USD</v>
      </c>
      <c r="E1820" t="str">
        <f>"2015"</f>
        <v>2015</v>
      </c>
      <c r="F1820" t="str">
        <f>"Goyal"</f>
        <v>Goyal</v>
      </c>
      <c r="G1820" t="str">
        <f>"jahanadib"</f>
        <v>jahanadib</v>
      </c>
    </row>
    <row r="1821" spans="1:7" x14ac:dyDescent="0.25">
      <c r="A1821" t="str">
        <f>"Textbook of Organic Name Reactions "</f>
        <v xml:space="preserve">Textbook of Organic Name Reactions </v>
      </c>
      <c r="B1821" t="str">
        <f>"9788123924663"</f>
        <v>9788123924663</v>
      </c>
      <c r="C1821">
        <v>10.8</v>
      </c>
      <c r="D1821" t="str">
        <f t="shared" si="117"/>
        <v>USD</v>
      </c>
      <c r="E1821" t="str">
        <f>"2015"</f>
        <v>2015</v>
      </c>
      <c r="F1821" t="str">
        <f>"Mishra"</f>
        <v>Mishra</v>
      </c>
      <c r="G1821" t="str">
        <f>"jahanadib"</f>
        <v>jahanadib</v>
      </c>
    </row>
    <row r="1822" spans="1:7" x14ac:dyDescent="0.25">
      <c r="A1822" t="str">
        <f>"Textbook of Organic Name Reactions "</f>
        <v xml:space="preserve">Textbook of Organic Name Reactions </v>
      </c>
      <c r="B1822" t="str">
        <f>"9788123924663"</f>
        <v>9788123924663</v>
      </c>
      <c r="C1822">
        <v>10.8</v>
      </c>
      <c r="D1822" t="str">
        <f t="shared" si="117"/>
        <v>USD</v>
      </c>
      <c r="E1822" t="str">
        <f>"2015"</f>
        <v>2015</v>
      </c>
      <c r="F1822" t="str">
        <f>"Mishra"</f>
        <v>Mishra</v>
      </c>
      <c r="G1822" t="str">
        <f>"safirketab"</f>
        <v>safirketab</v>
      </c>
    </row>
    <row r="1823" spans="1:7" x14ac:dyDescent="0.25">
      <c r="A1823" t="str">
        <f>"Textbook of Physical Chemistry, 2/ed."</f>
        <v>Textbook of Physical Chemistry, 2/ed.</v>
      </c>
      <c r="B1823" t="str">
        <f>"9788120350625"</f>
        <v>9788120350625</v>
      </c>
      <c r="C1823">
        <v>14.87</v>
      </c>
      <c r="D1823" t="str">
        <f t="shared" si="117"/>
        <v>USD</v>
      </c>
      <c r="E1823" t="str">
        <f>"2015"</f>
        <v>2015</v>
      </c>
      <c r="F1823" t="str">
        <f>"Moudgil"</f>
        <v>Moudgil</v>
      </c>
      <c r="G1823" t="str">
        <f>"negarestanabi"</f>
        <v>negarestanabi</v>
      </c>
    </row>
    <row r="1824" spans="1:7" x14ac:dyDescent="0.25">
      <c r="A1824" t="str">
        <f>"Textbook Of Solid State Chemistry, HB"</f>
        <v>Textbook Of Solid State Chemistry, HB</v>
      </c>
      <c r="B1824" t="str">
        <f>"9789380472102"</f>
        <v>9789380472102</v>
      </c>
      <c r="C1824">
        <v>17.36</v>
      </c>
      <c r="D1824" t="str">
        <f t="shared" si="117"/>
        <v>USD</v>
      </c>
      <c r="E1824" t="str">
        <f>"2010"</f>
        <v>2010</v>
      </c>
      <c r="F1824" t="str">
        <f>"Vergeese"</f>
        <v>Vergeese</v>
      </c>
      <c r="G1824" t="str">
        <f>"supply"</f>
        <v>supply</v>
      </c>
    </row>
    <row r="1825" spans="1:7" x14ac:dyDescent="0.25">
      <c r="A1825" t="str">
        <f>"The Alkaloids, Volume77"</f>
        <v>The Alkaloids, Volume77</v>
      </c>
      <c r="B1825" t="str">
        <f>"9780128111246"</f>
        <v>9780128111246</v>
      </c>
      <c r="C1825">
        <v>220.5</v>
      </c>
      <c r="D1825" t="str">
        <f t="shared" si="117"/>
        <v>USD</v>
      </c>
      <c r="E1825" t="str">
        <f>"2017"</f>
        <v>2017</v>
      </c>
      <c r="F1825" t="str">
        <f>"KnÃ¶lker"</f>
        <v>KnÃ¶lker</v>
      </c>
      <c r="G1825" t="str">
        <f>"dehkadehketab"</f>
        <v>dehkadehketab</v>
      </c>
    </row>
    <row r="1826" spans="1:7" x14ac:dyDescent="0.25">
      <c r="A1826" t="str">
        <f>"The Alkaloids, Volume79"</f>
        <v>The Alkaloids, Volume79</v>
      </c>
      <c r="B1826" t="str">
        <f>"9780128151273"</f>
        <v>9780128151273</v>
      </c>
      <c r="C1826">
        <v>220.5</v>
      </c>
      <c r="D1826" t="str">
        <f t="shared" si="117"/>
        <v>USD</v>
      </c>
      <c r="E1826" t="str">
        <f>"2018"</f>
        <v>2018</v>
      </c>
      <c r="F1826" t="str">
        <f>"KnÃ¶lker"</f>
        <v>KnÃ¶lker</v>
      </c>
      <c r="G1826" t="str">
        <f>"dehkadehketab"</f>
        <v>dehkadehketab</v>
      </c>
    </row>
    <row r="1827" spans="1:7" x14ac:dyDescent="0.25">
      <c r="A1827" t="str">
        <f>"The Application of Green Solvents in Separation Processes"</f>
        <v>The Application of Green Solvents in Separation Processes</v>
      </c>
      <c r="B1827" t="str">
        <f>"9780128052570"</f>
        <v>9780128052570</v>
      </c>
      <c r="C1827">
        <v>112.5</v>
      </c>
      <c r="D1827" t="str">
        <f t="shared" si="117"/>
        <v>USD</v>
      </c>
      <c r="E1827" t="str">
        <f>"2017"</f>
        <v>2017</v>
      </c>
      <c r="F1827" t="str">
        <f>"Pena-Pereira and Tob"</f>
        <v>Pena-Pereira and Tob</v>
      </c>
      <c r="G1827" t="str">
        <f>"dehkadehketab"</f>
        <v>dehkadehketab</v>
      </c>
    </row>
    <row r="1828" spans="1:7" x14ac:dyDescent="0.25">
      <c r="A1828" t="str">
        <f>"The Chemical Weapons Convention: A Commentary (Oxford Commentaries on International Law)"</f>
        <v>The Chemical Weapons Convention: A Commentary (Oxford Commentaries on International Law)</v>
      </c>
      <c r="B1828" t="str">
        <f>"9780199669110"</f>
        <v>9780199669110</v>
      </c>
      <c r="C1828">
        <v>72.5</v>
      </c>
      <c r="D1828" t="str">
        <f>"GBP"</f>
        <v>GBP</v>
      </c>
      <c r="E1828" t="str">
        <f>"2014"</f>
        <v>2014</v>
      </c>
      <c r="F1828" t="str">
        <f>"Walter Krutzsch"</f>
        <v>Walter Krutzsch</v>
      </c>
      <c r="G1828" t="str">
        <f>"arzinbooks"</f>
        <v>arzinbooks</v>
      </c>
    </row>
    <row r="1829" spans="1:7" x14ac:dyDescent="0.25">
      <c r="A1829" t="str">
        <f>"The Chemistry of Dyestuffs: A Manual for Students of Chemistry and DyeingÂ "</f>
        <v>The Chemistry of Dyestuffs: A Manual for Students of Chemistry and DyeingÂ </v>
      </c>
      <c r="B1829" t="str">
        <f>"9781316606933"</f>
        <v>9781316606933</v>
      </c>
      <c r="C1829">
        <v>22.5</v>
      </c>
      <c r="D1829" t="str">
        <f>"GBP"</f>
        <v>GBP</v>
      </c>
      <c r="E1829" t="str">
        <f>"2016"</f>
        <v>2016</v>
      </c>
      <c r="F1829" t="str">
        <f>"M. Fort , L. L. Lloy"</f>
        <v>M. Fort , L. L. Lloy</v>
      </c>
      <c r="G1829" t="str">
        <f>"arzinbooks"</f>
        <v>arzinbooks</v>
      </c>
    </row>
    <row r="1830" spans="1:7" x14ac:dyDescent="0.25">
      <c r="A1830" t="str">
        <f>"The Chemistry of Heterocycles, Structure, Activity and Applications"</f>
        <v>The Chemistry of Heterocycles, Structure, Activity and Applications</v>
      </c>
      <c r="B1830" t="str">
        <f>"9780081010310"</f>
        <v>9780081010310</v>
      </c>
      <c r="C1830">
        <v>135</v>
      </c>
      <c r="D1830" t="str">
        <f>"USD"</f>
        <v>USD</v>
      </c>
      <c r="E1830" t="str">
        <f>"2017"</f>
        <v>2017</v>
      </c>
      <c r="F1830" t="str">
        <f>"Ji Ram et al"</f>
        <v>Ji Ram et al</v>
      </c>
      <c r="G1830" t="str">
        <f>"dehkadehketab"</f>
        <v>dehkadehketab</v>
      </c>
    </row>
    <row r="1831" spans="1:7" x14ac:dyDescent="0.25">
      <c r="A1831" t="str">
        <f>"The Chemistry of Human Nature"</f>
        <v>The Chemistry of Human Nature</v>
      </c>
      <c r="B1831" t="str">
        <f>"9781782621348"</f>
        <v>9781782621348</v>
      </c>
      <c r="C1831">
        <v>18.7</v>
      </c>
      <c r="D1831" t="str">
        <f>"GBP"</f>
        <v>GBP</v>
      </c>
      <c r="E1831" t="str">
        <f>"2017"</f>
        <v>2017</v>
      </c>
      <c r="F1831" t="str">
        <f>"TOM HUSBAND"</f>
        <v>TOM HUSBAND</v>
      </c>
      <c r="G1831" t="str">
        <f>"arzinbooks"</f>
        <v>arzinbooks</v>
      </c>
    </row>
    <row r="1832" spans="1:7" x14ac:dyDescent="0.25">
      <c r="A1832" t="str">
        <f>"The Chemistry of Plants and Insects : Plants, Bugs, and Molecules"</f>
        <v>The Chemistry of Plants and Insects : Plants, Bugs, and Molecules</v>
      </c>
      <c r="B1832" t="str">
        <f>"9781782624486"</f>
        <v>9781782624486</v>
      </c>
      <c r="C1832">
        <v>25.2</v>
      </c>
      <c r="D1832" t="str">
        <f>"GBP"</f>
        <v>GBP</v>
      </c>
      <c r="E1832" t="str">
        <f>"2017"</f>
        <v>2017</v>
      </c>
      <c r="F1832" t="str">
        <f>"Margareta Sequin"</f>
        <v>Margareta Sequin</v>
      </c>
      <c r="G1832" t="str">
        <f>"arzinbooks"</f>
        <v>arzinbooks</v>
      </c>
    </row>
    <row r="1833" spans="1:7" x14ac:dyDescent="0.25">
      <c r="A1833" t="str">
        <f>"The Chemistry of Polymers"</f>
        <v>The Chemistry of Polymers</v>
      </c>
      <c r="B1833" t="str">
        <f>"9781782628323"</f>
        <v>9781782628323</v>
      </c>
      <c r="C1833">
        <v>27.9</v>
      </c>
      <c r="D1833" t="str">
        <f>"GBP"</f>
        <v>GBP</v>
      </c>
      <c r="E1833" t="str">
        <f>"2017"</f>
        <v>2017</v>
      </c>
      <c r="F1833" t="str">
        <f>"John W Nicholson"</f>
        <v>John W Nicholson</v>
      </c>
      <c r="G1833" t="str">
        <f>"arzinbooks"</f>
        <v>arzinbooks</v>
      </c>
    </row>
    <row r="1834" spans="1:7" x14ac:dyDescent="0.25">
      <c r="A1834" t="str">
        <f>"The Chemists' War"</f>
        <v>The Chemists' War</v>
      </c>
      <c r="B1834" t="str">
        <f>"9781849739894"</f>
        <v>9781849739894</v>
      </c>
      <c r="C1834">
        <v>11</v>
      </c>
      <c r="D1834" t="str">
        <f>"GBP"</f>
        <v>GBP</v>
      </c>
      <c r="E1834" t="str">
        <f>"2014"</f>
        <v>2014</v>
      </c>
      <c r="F1834" t="str">
        <f>"Freemantle"</f>
        <v>Freemantle</v>
      </c>
      <c r="G1834" t="str">
        <f>"arzinbooks"</f>
        <v>arzinbooks</v>
      </c>
    </row>
    <row r="1835" spans="1:7" x14ac:dyDescent="0.25">
      <c r="A1835" t="str">
        <f>"The Cosmic-Chemical Bond: Chemistry from the Big Bang to Planet FormationÂ "</f>
        <v>The Cosmic-Chemical Bond: Chemistry from the Big Bang to Planet FormationÂ </v>
      </c>
      <c r="B1835" t="str">
        <f>"9781849736091"</f>
        <v>9781849736091</v>
      </c>
      <c r="C1835">
        <v>10</v>
      </c>
      <c r="D1835" t="str">
        <f>"GBP"</f>
        <v>GBP</v>
      </c>
      <c r="E1835" t="str">
        <f>"2013"</f>
        <v>2013</v>
      </c>
      <c r="F1835" t="str">
        <f>"D A WilliamsÂ T W Har"</f>
        <v>D A WilliamsÂ T W Har</v>
      </c>
      <c r="G1835" t="str">
        <f>"arzinbooks"</f>
        <v>arzinbooks</v>
      </c>
    </row>
    <row r="1836" spans="1:7" x14ac:dyDescent="0.25">
      <c r="A1836" t="str">
        <f>"The Evolution of Medicinal Chemistry"</f>
        <v>The Evolution of Medicinal Chemistry</v>
      </c>
      <c r="B1836" t="str">
        <f>"9780080982359"</f>
        <v>9780080982359</v>
      </c>
      <c r="C1836">
        <v>135</v>
      </c>
      <c r="D1836" t="str">
        <f>"USD"</f>
        <v>USD</v>
      </c>
      <c r="E1836" t="str">
        <f>"2017"</f>
        <v>2017</v>
      </c>
      <c r="F1836" t="str">
        <f>"Seneci, Pierfausto"</f>
        <v>Seneci, Pierfausto</v>
      </c>
      <c r="G1836" t="str">
        <f>"dehkadehketab"</f>
        <v>dehkadehketab</v>
      </c>
    </row>
    <row r="1837" spans="1:7" x14ac:dyDescent="0.25">
      <c r="A1837" t="str">
        <f>"The Fractal Physics of Polymer Synthesis"</f>
        <v>The Fractal Physics of Polymer Synthesis</v>
      </c>
      <c r="B1837" t="str">
        <f>"9781926895635"</f>
        <v>9781926895635</v>
      </c>
      <c r="C1837">
        <v>92.8</v>
      </c>
      <c r="D1837" t="str">
        <f>"GBP"</f>
        <v>GBP</v>
      </c>
      <c r="E1837" t="str">
        <f>"2014"</f>
        <v>2014</v>
      </c>
      <c r="F1837" t="str">
        <f>"Gennady Efremovich"</f>
        <v>Gennady Efremovich</v>
      </c>
      <c r="G1837" t="str">
        <f>"AsarBartar"</f>
        <v>AsarBartar</v>
      </c>
    </row>
    <row r="1838" spans="1:7" x14ac:dyDescent="0.25">
      <c r="A1838" t="str">
        <f>"The Notion of Activity in Chemistry"</f>
        <v>The Notion of Activity in Chemistry</v>
      </c>
      <c r="B1838" t="str">
        <f>"9783319463995"</f>
        <v>9783319463995</v>
      </c>
      <c r="C1838">
        <v>134.99</v>
      </c>
      <c r="D1838" t="str">
        <f>"EUR"</f>
        <v>EUR</v>
      </c>
      <c r="E1838" t="str">
        <f>"2017"</f>
        <v>2017</v>
      </c>
      <c r="F1838" t="str">
        <f>"Burgot"</f>
        <v>Burgot</v>
      </c>
      <c r="G1838" t="str">
        <f>"negarestanabi"</f>
        <v>negarestanabi</v>
      </c>
    </row>
    <row r="1839" spans="1:7" x14ac:dyDescent="0.25">
      <c r="A1839" t="str">
        <f>"The Organic Chemistry of Biological Pathways ; 2th Edition"</f>
        <v>The Organic Chemistry of Biological Pathways ; 2th Edition</v>
      </c>
      <c r="B1839" t="str">
        <f>"9781936221561"</f>
        <v>9781936221561</v>
      </c>
      <c r="C1839">
        <v>61.6</v>
      </c>
      <c r="D1839" t="str">
        <f>"EUR"</f>
        <v>EUR</v>
      </c>
      <c r="E1839" t="str">
        <f>"2016"</f>
        <v>2016</v>
      </c>
      <c r="F1839" t="str">
        <f>"JOHN E. MCMURRYÂ TADH"</f>
        <v>JOHN E. MCMURRYÂ TADH</v>
      </c>
      <c r="G1839" t="str">
        <f>"arzinbooks"</f>
        <v>arzinbooks</v>
      </c>
    </row>
    <row r="1840" spans="1:7" x14ac:dyDescent="0.25">
      <c r="A1840" t="str">
        <f>"The Properties of Energetic MaterialsSensitivity, Physical and Thermodynamic Properties"</f>
        <v>The Properties of Energetic MaterialsSensitivity, Physical and Thermodynamic Properties</v>
      </c>
      <c r="B1840" t="str">
        <f>"9783110521870"</f>
        <v>9783110521870</v>
      </c>
      <c r="C1840">
        <v>62.95</v>
      </c>
      <c r="D1840" t="str">
        <f>"EUR"</f>
        <v>EUR</v>
      </c>
      <c r="E1840" t="str">
        <f>"2018"</f>
        <v>2018</v>
      </c>
      <c r="F1840" t="str">
        <f>"Keshavarz, Mohammad"</f>
        <v>Keshavarz, Mohammad</v>
      </c>
      <c r="G1840" t="str">
        <f>"AsarBartar"</f>
        <v>AsarBartar</v>
      </c>
    </row>
    <row r="1841" spans="1:7" x14ac:dyDescent="0.25">
      <c r="A1841" t="str">
        <f>"Theoretical Modeling of Vibrational Spectra in the Liquid Phase"</f>
        <v>Theoretical Modeling of Vibrational Spectra in the Liquid Phase</v>
      </c>
      <c r="B1841" t="str">
        <f>"9783319496276"</f>
        <v>9783319496276</v>
      </c>
      <c r="C1841">
        <v>89.99</v>
      </c>
      <c r="D1841" t="str">
        <f>"EUR"</f>
        <v>EUR</v>
      </c>
      <c r="E1841" t="str">
        <f>"2017"</f>
        <v>2017</v>
      </c>
      <c r="F1841" t="str">
        <f>"Thomas"</f>
        <v>Thomas</v>
      </c>
      <c r="G1841" t="str">
        <f>"negarestanabi"</f>
        <v>negarestanabi</v>
      </c>
    </row>
    <row r="1842" spans="1:7" x14ac:dyDescent="0.25">
      <c r="A1842" t="str">
        <f>"Theories and Models for Chemical Bonding"</f>
        <v>Theories and Models for Chemical Bonding</v>
      </c>
      <c r="B1842" t="str">
        <f>"9783527333141"</f>
        <v>9783527333141</v>
      </c>
      <c r="C1842">
        <v>147</v>
      </c>
      <c r="D1842" t="str">
        <f t="shared" ref="D1842:D1849" si="118">"USD"</f>
        <v>USD</v>
      </c>
      <c r="E1842" t="str">
        <f>"2014"</f>
        <v>2014</v>
      </c>
      <c r="F1842" t="str">
        <f>"Frenking"</f>
        <v>Frenking</v>
      </c>
      <c r="G1842" t="str">
        <f>"avanddanesh"</f>
        <v>avanddanesh</v>
      </c>
    </row>
    <row r="1843" spans="1:7" x14ac:dyDescent="0.25">
      <c r="A1843" t="str">
        <f>"Theory and Applications of the Empirical Valence Bond Approach: From Physical Chemistry to Chemical Biology"</f>
        <v>Theory and Applications of the Empirical Valence Bond Approach: From Physical Chemistry to Chemical Biology</v>
      </c>
      <c r="B1843" t="str">
        <f>"9781119245391"</f>
        <v>9781119245391</v>
      </c>
      <c r="C1843">
        <v>112.5</v>
      </c>
      <c r="D1843" t="str">
        <f t="shared" si="118"/>
        <v>USD</v>
      </c>
      <c r="E1843" t="str">
        <f>"2017"</f>
        <v>2017</v>
      </c>
      <c r="F1843" t="str">
        <f>"Duarte"</f>
        <v>Duarte</v>
      </c>
      <c r="G1843" t="str">
        <f>"avanddanesh"</f>
        <v>avanddanesh</v>
      </c>
    </row>
    <row r="1844" spans="1:7" x14ac:dyDescent="0.25">
      <c r="A1844" t="str">
        <f>"Theory and Modelling of Cylindrical Nanostructures for High-Resolution Spectroscopy"</f>
        <v>Theory and Modelling of Cylindrical Nanostructures for High-Resolution Spectroscopy</v>
      </c>
      <c r="B1844" t="str">
        <f>"9780323527316"</f>
        <v>9780323527316</v>
      </c>
      <c r="C1844">
        <v>180</v>
      </c>
      <c r="D1844" t="str">
        <f t="shared" si="118"/>
        <v>USD</v>
      </c>
      <c r="E1844" t="str">
        <f>"2017"</f>
        <v>2017</v>
      </c>
      <c r="F1844" t="str">
        <f>"Bottacchi and Bottac"</f>
        <v>Bottacchi and Bottac</v>
      </c>
      <c r="G1844" t="str">
        <f>"dehkadehketab"</f>
        <v>dehkadehketab</v>
      </c>
    </row>
    <row r="1845" spans="1:7" x14ac:dyDescent="0.25">
      <c r="A1845" t="str">
        <f>"Theory Of Complex Variable"</f>
        <v>Theory Of Complex Variable</v>
      </c>
      <c r="B1845" t="str">
        <f>"9788183562959"</f>
        <v>9788183562959</v>
      </c>
      <c r="C1845">
        <v>19</v>
      </c>
      <c r="D1845" t="str">
        <f t="shared" si="118"/>
        <v>USD</v>
      </c>
      <c r="E1845" t="str">
        <f>"2007"</f>
        <v>2007</v>
      </c>
      <c r="F1845" t="str">
        <f>"Pandey"</f>
        <v>Pandey</v>
      </c>
      <c r="G1845" t="str">
        <f>"kowkab"</f>
        <v>kowkab</v>
      </c>
    </row>
    <row r="1846" spans="1:7" x14ac:dyDescent="0.25">
      <c r="A1846" t="str">
        <f>"Therapeutic Delivery Solutions"</f>
        <v>Therapeutic Delivery Solutions</v>
      </c>
      <c r="B1846" t="str">
        <f>"9781118111260"</f>
        <v>9781118111260</v>
      </c>
      <c r="C1846">
        <v>96.8</v>
      </c>
      <c r="D1846" t="str">
        <f t="shared" si="118"/>
        <v>USD</v>
      </c>
      <c r="E1846" t="str">
        <f>"2014"</f>
        <v>2014</v>
      </c>
      <c r="F1846" t="str">
        <f>"Chan"</f>
        <v>Chan</v>
      </c>
      <c r="G1846" t="str">
        <f>"avanddanesh"</f>
        <v>avanddanesh</v>
      </c>
    </row>
    <row r="1847" spans="1:7" x14ac:dyDescent="0.25">
      <c r="A1847" t="str">
        <f>"Thermal Convection : Patterns, Evolution and Stability"</f>
        <v>Thermal Convection : Patterns, Evolution and Stability</v>
      </c>
      <c r="B1847" t="str">
        <f>"9780470699942"</f>
        <v>9780470699942</v>
      </c>
      <c r="C1847">
        <v>86</v>
      </c>
      <c r="D1847" t="str">
        <f t="shared" si="118"/>
        <v>USD</v>
      </c>
      <c r="E1847" t="str">
        <f>"2009"</f>
        <v>2009</v>
      </c>
      <c r="F1847" t="str">
        <f>"Lappa"</f>
        <v>Lappa</v>
      </c>
      <c r="G1847" t="str">
        <f>"avanddanesh"</f>
        <v>avanddanesh</v>
      </c>
    </row>
    <row r="1848" spans="1:7" x14ac:dyDescent="0.25">
      <c r="A1848" t="str">
        <f>"Thermal Convection:Patterns, Evolution and Stability"</f>
        <v>Thermal Convection:Patterns, Evolution and Stability</v>
      </c>
      <c r="B1848" t="str">
        <f>"9780470699942"</f>
        <v>9780470699942</v>
      </c>
      <c r="C1848">
        <v>86</v>
      </c>
      <c r="D1848" t="str">
        <f t="shared" si="118"/>
        <v>USD</v>
      </c>
      <c r="E1848" t="str">
        <f>"2009"</f>
        <v>2009</v>
      </c>
      <c r="F1848" t="str">
        <f>"Lappa"</f>
        <v>Lappa</v>
      </c>
      <c r="G1848" t="str">
        <f>"safirketab"</f>
        <v>safirketab</v>
      </c>
    </row>
    <row r="1849" spans="1:7" x14ac:dyDescent="0.25">
      <c r="A1849" t="str">
        <f>"Thermal Ionization Mass Spectrometry (TIMS): Silicate Digestion, Separation, Measurement"</f>
        <v>Thermal Ionization Mass Spectrometry (TIMS): Silicate Digestion, Separation, Measurement</v>
      </c>
      <c r="B1849" t="str">
        <f>"9783527340248"</f>
        <v>9783527340248</v>
      </c>
      <c r="C1849">
        <v>127.5</v>
      </c>
      <c r="D1849" t="str">
        <f t="shared" si="118"/>
        <v>USD</v>
      </c>
      <c r="E1849" t="str">
        <f>"2016"</f>
        <v>2016</v>
      </c>
      <c r="F1849" t="str">
        <f>"Makishima"</f>
        <v>Makishima</v>
      </c>
      <c r="G1849" t="str">
        <f>"avanddanesh"</f>
        <v>avanddanesh</v>
      </c>
    </row>
    <row r="1850" spans="1:7" x14ac:dyDescent="0.25">
      <c r="A1850" t="str">
        <f>"Thermal Physics and Thermal Analysis: From Macro to Micro. Highlighting Thermodynamics. Kinetics and Nanomaterials"</f>
        <v>Thermal Physics and Thermal Analysis: From Macro to Micro. Highlighting Thermodynamics. Kinetics and Nanomaterials</v>
      </c>
      <c r="B1850" t="str">
        <f>"9783319458977"</f>
        <v>9783319458977</v>
      </c>
      <c r="C1850">
        <v>161.99</v>
      </c>
      <c r="D1850" t="str">
        <f>"EUR"</f>
        <v>EUR</v>
      </c>
      <c r="E1850" t="str">
        <f>"2017"</f>
        <v>2017</v>
      </c>
      <c r="F1850" t="str">
        <f>"Å estÃ¡k"</f>
        <v>Å estÃ¡k</v>
      </c>
      <c r="G1850" t="str">
        <f>"negarestanabi"</f>
        <v>negarestanabi</v>
      </c>
    </row>
    <row r="1851" spans="1:7" x14ac:dyDescent="0.25">
      <c r="A1851" t="str">
        <f>"Thermochemical Processing of Biomass: Conversion into Fuels, Chemicals and Power"</f>
        <v>Thermochemical Processing of Biomass: Conversion into Fuels, Chemicals and Power</v>
      </c>
      <c r="B1851" t="str">
        <f>"9780470721117"</f>
        <v>9780470721117</v>
      </c>
      <c r="C1851">
        <v>50</v>
      </c>
      <c r="D1851" t="str">
        <f t="shared" ref="D1851:D1858" si="119">"USD"</f>
        <v>USD</v>
      </c>
      <c r="E1851" t="str">
        <f>"2011"</f>
        <v>2011</v>
      </c>
      <c r="F1851" t="str">
        <f>"Brown"</f>
        <v>Brown</v>
      </c>
      <c r="G1851" t="str">
        <f>"avanddanesh"</f>
        <v>avanddanesh</v>
      </c>
    </row>
    <row r="1852" spans="1:7" x14ac:dyDescent="0.25">
      <c r="A1852" t="str">
        <f>"Thermochemical Processing of Biomass: Conversion into Fuels, Chemicals and Power"</f>
        <v>Thermochemical Processing of Biomass: Conversion into Fuels, Chemicals and Power</v>
      </c>
      <c r="B1852" t="str">
        <f>"9780470721117"</f>
        <v>9780470721117</v>
      </c>
      <c r="C1852">
        <v>50</v>
      </c>
      <c r="D1852" t="str">
        <f t="shared" si="119"/>
        <v>USD</v>
      </c>
      <c r="E1852" t="str">
        <f>"2011"</f>
        <v>2011</v>
      </c>
      <c r="F1852" t="str">
        <f>"Brown"</f>
        <v>Brown</v>
      </c>
      <c r="G1852" t="str">
        <f>"safirketab"</f>
        <v>safirketab</v>
      </c>
    </row>
    <row r="1853" spans="1:7" x14ac:dyDescent="0.25">
      <c r="A1853" t="str">
        <f>"Thermochemical Surface Engineering of Steels, Improving Materials Performance"</f>
        <v>Thermochemical Surface Engineering of Steels, Improving Materials Performance</v>
      </c>
      <c r="B1853" t="str">
        <f>"9780081013311"</f>
        <v>9780081013311</v>
      </c>
      <c r="C1853">
        <v>252</v>
      </c>
      <c r="D1853" t="str">
        <f t="shared" si="119"/>
        <v>USD</v>
      </c>
      <c r="E1853" t="str">
        <f>"2017"</f>
        <v>2017</v>
      </c>
      <c r="F1853" t="str">
        <f>"Mittemeijer and Some"</f>
        <v>Mittemeijer and Some</v>
      </c>
      <c r="G1853" t="str">
        <f>"dehkadehketab"</f>
        <v>dehkadehketab</v>
      </c>
    </row>
    <row r="1854" spans="1:7" x14ac:dyDescent="0.25">
      <c r="A1854" t="str">
        <f>"Thermodynamic Modeling of Solid Phases"</f>
        <v>Thermodynamic Modeling of Solid Phases</v>
      </c>
      <c r="B1854" t="str">
        <f>"9781848218666"</f>
        <v>9781848218666</v>
      </c>
      <c r="C1854">
        <v>104</v>
      </c>
      <c r="D1854" t="str">
        <f t="shared" si="119"/>
        <v>USD</v>
      </c>
      <c r="E1854" t="str">
        <f>"2015"</f>
        <v>2015</v>
      </c>
      <c r="F1854" t="str">
        <f>"Soustelle"</f>
        <v>Soustelle</v>
      </c>
      <c r="G1854" t="str">
        <f>"avanddanesh"</f>
        <v>avanddanesh</v>
      </c>
    </row>
    <row r="1855" spans="1:7" x14ac:dyDescent="0.25">
      <c r="A1855" t="str">
        <f>"Thermodynamic Models for Industrial Applications: From Classical and Advanced Mixing Rules to Association Theories"</f>
        <v>Thermodynamic Models for Industrial Applications: From Classical and Advanced Mixing Rules to Association Theories</v>
      </c>
      <c r="B1855" t="str">
        <f>"9780470697269"</f>
        <v>9780470697269</v>
      </c>
      <c r="C1855">
        <v>54</v>
      </c>
      <c r="D1855" t="str">
        <f t="shared" si="119"/>
        <v>USD</v>
      </c>
      <c r="E1855" t="str">
        <f>"2010"</f>
        <v>2010</v>
      </c>
      <c r="F1855" t="str">
        <f>"Kontogeorgis"</f>
        <v>Kontogeorgis</v>
      </c>
      <c r="G1855" t="str">
        <f>"avanddanesh"</f>
        <v>avanddanesh</v>
      </c>
    </row>
    <row r="1856" spans="1:7" x14ac:dyDescent="0.25">
      <c r="A1856" t="str">
        <f>"Thermodynamics and Kinetics of Drug Binding"</f>
        <v>Thermodynamics and Kinetics of Drug Binding</v>
      </c>
      <c r="B1856" t="str">
        <f>"9783527335824"</f>
        <v>9783527335824</v>
      </c>
      <c r="C1856">
        <v>152</v>
      </c>
      <c r="D1856" t="str">
        <f t="shared" si="119"/>
        <v>USD</v>
      </c>
      <c r="E1856" t="str">
        <f>"2015"</f>
        <v>2015</v>
      </c>
      <c r="F1856" t="str">
        <f>"KeserÃ¼"</f>
        <v>KeserÃ¼</v>
      </c>
      <c r="G1856" t="str">
        <f>"avanddanesh"</f>
        <v>avanddanesh</v>
      </c>
    </row>
    <row r="1857" spans="1:7" x14ac:dyDescent="0.25">
      <c r="A1857" t="str">
        <f>"Thermodynamics of Surfaces and Capillary Systems"</f>
        <v>Thermodynamics of Surfaces and Capillary Systems</v>
      </c>
      <c r="B1857" t="str">
        <f>"9781848218703"</f>
        <v>9781848218703</v>
      </c>
      <c r="C1857">
        <v>93.5</v>
      </c>
      <c r="D1857" t="str">
        <f t="shared" si="119"/>
        <v>USD</v>
      </c>
      <c r="E1857" t="str">
        <f>"2016"</f>
        <v>2016</v>
      </c>
      <c r="F1857" t="str">
        <f>"Soustelle"</f>
        <v>Soustelle</v>
      </c>
      <c r="G1857" t="str">
        <f>"avanddanesh"</f>
        <v>avanddanesh</v>
      </c>
    </row>
    <row r="1858" spans="1:7" x14ac:dyDescent="0.25">
      <c r="A1858" t="str">
        <f>"Thermoplastic Starch:A Green Material for Various Industries"</f>
        <v>Thermoplastic Starch:A Green Material for Various Industries</v>
      </c>
      <c r="B1858" t="str">
        <f>"9783527325283"</f>
        <v>9783527325283</v>
      </c>
      <c r="C1858">
        <v>119.68</v>
      </c>
      <c r="D1858" t="str">
        <f t="shared" si="119"/>
        <v>USD</v>
      </c>
      <c r="E1858" t="str">
        <f>"2009"</f>
        <v>2009</v>
      </c>
      <c r="F1858" t="str">
        <f>"Janssen"</f>
        <v>Janssen</v>
      </c>
      <c r="G1858" t="str">
        <f>"safirketab"</f>
        <v>safirketab</v>
      </c>
    </row>
    <row r="1859" spans="1:7" x14ac:dyDescent="0.25">
      <c r="A1859" t="str">
        <f>"Three-Dimensional Integration of Semiconductors: Processing. Materials. and Applications"</f>
        <v>Three-Dimensional Integration of Semiconductors: Processing. Materials. and Applications</v>
      </c>
      <c r="B1859" t="str">
        <f>"9783319186740"</f>
        <v>9783319186740</v>
      </c>
      <c r="C1859">
        <v>134.99</v>
      </c>
      <c r="D1859" t="str">
        <f>"EUR"</f>
        <v>EUR</v>
      </c>
      <c r="E1859" t="str">
        <f>"2015"</f>
        <v>2015</v>
      </c>
      <c r="F1859" t="str">
        <f>"Kondo"</f>
        <v>Kondo</v>
      </c>
      <c r="G1859" t="str">
        <f>"negarestanabi"</f>
        <v>negarestanabi</v>
      </c>
    </row>
    <row r="1860" spans="1:7" x14ac:dyDescent="0.25">
      <c r="A1860" t="str">
        <f>"Time-Resolved Mass Spectrometry: From Concept to Applications"</f>
        <v>Time-Resolved Mass Spectrometry: From Concept to Applications</v>
      </c>
      <c r="B1860" t="str">
        <f>"9781118887325"</f>
        <v>9781118887325</v>
      </c>
      <c r="C1860">
        <v>80.8</v>
      </c>
      <c r="D1860" t="str">
        <f t="shared" ref="D1860:D1865" si="120">"USD"</f>
        <v>USD</v>
      </c>
      <c r="E1860" t="str">
        <f>"2016"</f>
        <v>2016</v>
      </c>
      <c r="F1860" t="str">
        <f>"Urban"</f>
        <v>Urban</v>
      </c>
      <c r="G1860" t="str">
        <f>"avanddanesh"</f>
        <v>avanddanesh</v>
      </c>
    </row>
    <row r="1861" spans="1:7" x14ac:dyDescent="0.25">
      <c r="A1861" t="str">
        <f>"Tools for Green Chemistry,V 10"</f>
        <v>Tools for Green Chemistry,V 10</v>
      </c>
      <c r="B1861" t="str">
        <f>"9783527326457"</f>
        <v>9783527326457</v>
      </c>
      <c r="C1861">
        <v>184.5</v>
      </c>
      <c r="D1861" t="str">
        <f t="shared" si="120"/>
        <v>USD</v>
      </c>
      <c r="E1861" t="str">
        <f>"2017"</f>
        <v>2017</v>
      </c>
      <c r="F1861" t="str">
        <f>"Beach"</f>
        <v>Beach</v>
      </c>
      <c r="G1861" t="str">
        <f>"avanddanesh"</f>
        <v>avanddanesh</v>
      </c>
    </row>
    <row r="1862" spans="1:7" x14ac:dyDescent="0.25">
      <c r="A1862" t="str">
        <f>"Topics in Stereochemistry"</f>
        <v>Topics in Stereochemistry</v>
      </c>
      <c r="B1862" t="str">
        <f>"9780471682448"</f>
        <v>9780471682448</v>
      </c>
      <c r="C1862">
        <v>114</v>
      </c>
      <c r="D1862" t="str">
        <f t="shared" si="120"/>
        <v>USD</v>
      </c>
      <c r="E1862" t="str">
        <f>"2006"</f>
        <v>2006</v>
      </c>
      <c r="F1862" t="str">
        <f>"Denmark-Chemistry"</f>
        <v>Denmark-Chemistry</v>
      </c>
      <c r="G1862" t="str">
        <f>"safirketab"</f>
        <v>safirketab</v>
      </c>
    </row>
    <row r="1863" spans="1:7" x14ac:dyDescent="0.25">
      <c r="A1863" t="str">
        <f>"Total-Reflection X-ray Fluorescence Analysis and Related Methods,2e"</f>
        <v>Total-Reflection X-ray Fluorescence Analysis and Related Methods,2e</v>
      </c>
      <c r="B1863" t="str">
        <f>"9781118460276"</f>
        <v>9781118460276</v>
      </c>
      <c r="C1863">
        <v>112</v>
      </c>
      <c r="D1863" t="str">
        <f t="shared" si="120"/>
        <v>USD</v>
      </c>
      <c r="E1863" t="str">
        <f>"2015"</f>
        <v>2015</v>
      </c>
      <c r="F1863" t="str">
        <f>"Klockenkmper"</f>
        <v>Klockenkmper</v>
      </c>
      <c r="G1863" t="str">
        <f>"avanddanesh"</f>
        <v>avanddanesh</v>
      </c>
    </row>
    <row r="1864" spans="1:7" x14ac:dyDescent="0.25">
      <c r="A1864" t="str">
        <f>"Trace Analysis of Specialty and Electronic Gases"</f>
        <v>Trace Analysis of Specialty and Electronic Gases</v>
      </c>
      <c r="B1864" t="str">
        <f>"9781118065662"</f>
        <v>9781118065662</v>
      </c>
      <c r="C1864">
        <v>69.5</v>
      </c>
      <c r="D1864" t="str">
        <f t="shared" si="120"/>
        <v>USD</v>
      </c>
      <c r="E1864" t="str">
        <f>"2013"</f>
        <v>2013</v>
      </c>
      <c r="F1864" t="str">
        <f>"Geiger"</f>
        <v>Geiger</v>
      </c>
      <c r="G1864" t="str">
        <f>"avanddanesh"</f>
        <v>avanddanesh</v>
      </c>
    </row>
    <row r="1865" spans="1:7" x14ac:dyDescent="0.25">
      <c r="A1865" t="str">
        <f>"Transforming Sustainability Strategy into Action: The Chemical Industry"</f>
        <v>Transforming Sustainability Strategy into Action: The Chemical Industry</v>
      </c>
      <c r="B1865" t="str">
        <f>"9780471644453"</f>
        <v>9780471644453</v>
      </c>
      <c r="C1865">
        <v>66</v>
      </c>
      <c r="D1865" t="str">
        <f t="shared" si="120"/>
        <v>USD</v>
      </c>
      <c r="E1865" t="str">
        <f>"2005"</f>
        <v>2005</v>
      </c>
      <c r="F1865" t="str">
        <f>"Beloff"</f>
        <v>Beloff</v>
      </c>
      <c r="G1865" t="str">
        <f>"avanddanesh"</f>
        <v>avanddanesh</v>
      </c>
    </row>
    <row r="1866" spans="1:7" x14ac:dyDescent="0.25">
      <c r="A1866" t="str">
        <f>"Transgenesis and Secondary Metabolism"</f>
        <v>Transgenesis and Secondary Metabolism</v>
      </c>
      <c r="B1866" t="str">
        <f>"9783319286686"</f>
        <v>9783319286686</v>
      </c>
      <c r="C1866">
        <v>233.1</v>
      </c>
      <c r="D1866" t="str">
        <f>"EUR"</f>
        <v>EUR</v>
      </c>
      <c r="E1866" t="str">
        <f>"2017"</f>
        <v>2017</v>
      </c>
      <c r="F1866" t="str">
        <f>"Jha"</f>
        <v>Jha</v>
      </c>
      <c r="G1866" t="str">
        <f>"negarestanabi"</f>
        <v>negarestanabi</v>
      </c>
    </row>
    <row r="1867" spans="1:7" x14ac:dyDescent="0.25">
      <c r="A1867" t="str">
        <f>"Transition Metal-Catalyzed Heterocycle Synthesis via C-H Activation"</f>
        <v>Transition Metal-Catalyzed Heterocycle Synthesis via C-H Activation</v>
      </c>
      <c r="B1867" t="str">
        <f>"9783527338887"</f>
        <v>9783527338887</v>
      </c>
      <c r="C1867">
        <v>182.8</v>
      </c>
      <c r="D1867" t="str">
        <f>"USD"</f>
        <v>USD</v>
      </c>
      <c r="E1867" t="str">
        <f>"2016"</f>
        <v>2016</v>
      </c>
      <c r="F1867" t="str">
        <f>"Wu"</f>
        <v>Wu</v>
      </c>
      <c r="G1867" t="str">
        <f>"avanddanesh"</f>
        <v>avanddanesh</v>
      </c>
    </row>
    <row r="1868" spans="1:7" x14ac:dyDescent="0.25">
      <c r="A1868" t="str">
        <f>"Transition Metal-Catalyzed Indole Synthesis, Transition Metal-Catalyzed Heterocycle Synthesis Series"</f>
        <v>Transition Metal-Catalyzed Indole Synthesis, Transition Metal-Catalyzed Heterocycle Synthesis Series</v>
      </c>
      <c r="B1868" t="str">
        <f>"9780128093764"</f>
        <v>9780128093764</v>
      </c>
      <c r="C1868">
        <v>44.95</v>
      </c>
      <c r="D1868" t="str">
        <f>"USD"</f>
        <v>USD</v>
      </c>
      <c r="E1868" t="str">
        <f>"2017"</f>
        <v>2017</v>
      </c>
      <c r="F1868" t="str">
        <f>"Wu"</f>
        <v>Wu</v>
      </c>
      <c r="G1868" t="str">
        <f>"dehkadehketab"</f>
        <v>dehkadehketab</v>
      </c>
    </row>
    <row r="1869" spans="1:7" x14ac:dyDescent="0.25">
      <c r="A1869" t="str">
        <f>"Transporters as Drug Targets"</f>
        <v>Transporters as Drug Targets</v>
      </c>
      <c r="B1869" t="str">
        <f>"9783527333844"</f>
        <v>9783527333844</v>
      </c>
      <c r="C1869">
        <v>184.5</v>
      </c>
      <c r="D1869" t="str">
        <f>"USD"</f>
        <v>USD</v>
      </c>
      <c r="E1869" t="str">
        <f>"2017"</f>
        <v>2017</v>
      </c>
      <c r="F1869" t="str">
        <f>"Ecker"</f>
        <v>Ecker</v>
      </c>
      <c r="G1869" t="str">
        <f>"avanddanesh"</f>
        <v>avanddanesh</v>
      </c>
    </row>
    <row r="1870" spans="1:7" x14ac:dyDescent="0.25">
      <c r="A1870" t="str">
        <f>"Trends in Bioelectroanalysis"</f>
        <v>Trends in Bioelectroanalysis</v>
      </c>
      <c r="B1870" t="str">
        <f>"9783319484839"</f>
        <v>9783319484839</v>
      </c>
      <c r="C1870">
        <v>251.99</v>
      </c>
      <c r="D1870" t="str">
        <f>"EUR"</f>
        <v>EUR</v>
      </c>
      <c r="E1870" t="str">
        <f>"2017"</f>
        <v>2017</v>
      </c>
      <c r="F1870" t="str">
        <f>"Matysik"</f>
        <v>Matysik</v>
      </c>
      <c r="G1870" t="str">
        <f>"negarestanabi"</f>
        <v>negarestanabi</v>
      </c>
    </row>
    <row r="1871" spans="1:7" x14ac:dyDescent="0.25">
      <c r="A1871" t="str">
        <f>"Tutorials in Chemoinformatics"</f>
        <v>Tutorials in Chemoinformatics</v>
      </c>
      <c r="B1871" t="str">
        <f>"9781119137962"</f>
        <v>9781119137962</v>
      </c>
      <c r="C1871">
        <v>85.5</v>
      </c>
      <c r="D1871" t="str">
        <f>"USD"</f>
        <v>USD</v>
      </c>
      <c r="E1871" t="str">
        <f>"2017"</f>
        <v>2017</v>
      </c>
      <c r="F1871" t="str">
        <f>"Varnek"</f>
        <v>Varnek</v>
      </c>
      <c r="G1871" t="str">
        <f>"avanddanesh"</f>
        <v>avanddanesh</v>
      </c>
    </row>
    <row r="1872" spans="1:7" x14ac:dyDescent="0.25">
      <c r="A1872" t="str">
        <f>"TWO-DIMENSIONAL OPTICAL SPECTROSCOPY"</f>
        <v>TWO-DIMENSIONAL OPTICAL SPECTROSCOPY</v>
      </c>
      <c r="B1872" t="str">
        <f>"9781420084290"</f>
        <v>9781420084290</v>
      </c>
      <c r="C1872">
        <v>27.6</v>
      </c>
      <c r="D1872" t="str">
        <f>"GBP"</f>
        <v>GBP</v>
      </c>
      <c r="E1872" t="str">
        <f>"2009"</f>
        <v>2009</v>
      </c>
      <c r="F1872" t="str">
        <f>"MINHAENG CHO"</f>
        <v>MINHAENG CHO</v>
      </c>
      <c r="G1872" t="str">
        <f>"AsarBartar"</f>
        <v>AsarBartar</v>
      </c>
    </row>
    <row r="1873" spans="1:7" x14ac:dyDescent="0.25">
      <c r="A1873" t="str">
        <f>"U Can: Chemistry I For Dummies"</f>
        <v>U Can: Chemistry I For Dummies</v>
      </c>
      <c r="B1873" t="str">
        <f>"9781119079408"</f>
        <v>9781119079408</v>
      </c>
      <c r="C1873">
        <v>24</v>
      </c>
      <c r="D1873" t="str">
        <f>"USD"</f>
        <v>USD</v>
      </c>
      <c r="E1873" t="str">
        <f>"2015"</f>
        <v>2015</v>
      </c>
      <c r="F1873" t="str">
        <f>"Moore"</f>
        <v>Moore</v>
      </c>
      <c r="G1873" t="str">
        <f>"avanddanesh"</f>
        <v>avanddanesh</v>
      </c>
    </row>
    <row r="1874" spans="1:7" x14ac:dyDescent="0.25">
      <c r="A1874" t="str">
        <f>"Ullmann's Agrochemicals 2V Set"</f>
        <v>Ullmann's Agrochemicals 2V Set</v>
      </c>
      <c r="B1874" t="str">
        <f>"9783527316045"</f>
        <v>9783527316045</v>
      </c>
      <c r="C1874">
        <v>236</v>
      </c>
      <c r="D1874" t="str">
        <f>"USD"</f>
        <v>USD</v>
      </c>
      <c r="E1874" t="str">
        <f>"2007"</f>
        <v>2007</v>
      </c>
      <c r="F1874" t="str">
        <f>"Wiley-VCH"</f>
        <v>Wiley-VCH</v>
      </c>
      <c r="G1874" t="str">
        <f>"safirketab"</f>
        <v>safirketab</v>
      </c>
    </row>
    <row r="1875" spans="1:7" x14ac:dyDescent="0.25">
      <c r="A1875" t="str">
        <f>"Ullmann's Fibers 2V Set"</f>
        <v>Ullmann's Fibers 2V Set</v>
      </c>
      <c r="B1875" t="str">
        <f>"9783527317721"</f>
        <v>9783527317721</v>
      </c>
      <c r="C1875">
        <v>273</v>
      </c>
      <c r="D1875" t="str">
        <f>"USD"</f>
        <v>USD</v>
      </c>
      <c r="E1875" t="str">
        <f>"2008"</f>
        <v>2008</v>
      </c>
      <c r="F1875" t="str">
        <f>"Wiley-VCH"</f>
        <v>Wiley-VCH</v>
      </c>
      <c r="G1875" t="str">
        <f>"safirketab"</f>
        <v>safirketab</v>
      </c>
    </row>
    <row r="1876" spans="1:7" x14ac:dyDescent="0.25">
      <c r="A1876" t="str">
        <f>"Ullmann's Industrial Toxicology 2V Set"</f>
        <v>Ullmann's Industrial Toxicology 2V Set</v>
      </c>
      <c r="B1876" t="str">
        <f>"9783527312474"</f>
        <v>9783527312474</v>
      </c>
      <c r="C1876">
        <v>328</v>
      </c>
      <c r="D1876" t="str">
        <f>"USD"</f>
        <v>USD</v>
      </c>
      <c r="E1876" t="str">
        <f>"2006"</f>
        <v>2006</v>
      </c>
      <c r="F1876" t="str">
        <f>"Wiley-VCH"</f>
        <v>Wiley-VCH</v>
      </c>
      <c r="G1876" t="str">
        <f>"safirketab"</f>
        <v>safirketab</v>
      </c>
    </row>
    <row r="1877" spans="1:7" x14ac:dyDescent="0.25">
      <c r="A1877" t="str">
        <f>"Ultra Clean Processing of  Semiconductor Surfaces XI"</f>
        <v>Ultra Clean Processing of  Semiconductor Surfaces XI</v>
      </c>
      <c r="B1877" t="str">
        <f>"9783037855270"</f>
        <v>9783037855270</v>
      </c>
      <c r="C1877">
        <v>105</v>
      </c>
      <c r="D1877" t="str">
        <f>"EUR"</f>
        <v>EUR</v>
      </c>
      <c r="E1877" t="str">
        <f>"2013"</f>
        <v>2013</v>
      </c>
      <c r="F1877" t="str">
        <f>"Mertens"</f>
        <v>Mertens</v>
      </c>
      <c r="G1877" t="str">
        <f>"jahanadib"</f>
        <v>jahanadib</v>
      </c>
    </row>
    <row r="1878" spans="1:7" x14ac:dyDescent="0.25">
      <c r="A1878" t="str">
        <f>"Underpotential Deposition: From  Fundamentals and Theory to Applications at the Nanoscale"</f>
        <v>Underpotential Deposition: From  Fundamentals and Theory to Applications at the Nanoscale</v>
      </c>
      <c r="B1878" t="str">
        <f>"9783319243924"</f>
        <v>9783319243924</v>
      </c>
      <c r="C1878">
        <v>116.99</v>
      </c>
      <c r="D1878" t="str">
        <f>"EUR"</f>
        <v>EUR</v>
      </c>
      <c r="E1878" t="str">
        <f>"2016"</f>
        <v>2016</v>
      </c>
      <c r="F1878" t="str">
        <f>"Oviedo"</f>
        <v>Oviedo</v>
      </c>
      <c r="G1878" t="str">
        <f>"negarestanabi"</f>
        <v>negarestanabi</v>
      </c>
    </row>
    <row r="1879" spans="1:7" x14ac:dyDescent="0.25">
      <c r="A1879" t="str">
        <f>"Understanding Basic Chemistry Through Problem Solving: The Learner's Approach"</f>
        <v>Understanding Basic Chemistry Through Problem Solving: The Learner's Approach</v>
      </c>
      <c r="B1879" t="str">
        <f>"9789814641180"</f>
        <v>9789814641180</v>
      </c>
      <c r="C1879">
        <v>23.8</v>
      </c>
      <c r="D1879" t="str">
        <f>"GBP"</f>
        <v>GBP</v>
      </c>
      <c r="E1879" t="str">
        <f>"2015"</f>
        <v>2015</v>
      </c>
      <c r="F1879" t="str">
        <f>"JEANNE TAN,KIM SENG"</f>
        <v>JEANNE TAN,KIM SENG</v>
      </c>
      <c r="G1879" t="str">
        <f>"AsarBartar"</f>
        <v>AsarBartar</v>
      </c>
    </row>
    <row r="1880" spans="1:7" x14ac:dyDescent="0.25">
      <c r="A1880" t="str">
        <f>"Understanding Bioanalytical Chemistry: Principles and Applications"</f>
        <v>Understanding Bioanalytical Chemistry: Principles and Applications</v>
      </c>
      <c r="B1880" t="str">
        <f>"9780470029060"</f>
        <v>9780470029060</v>
      </c>
      <c r="C1880">
        <v>66</v>
      </c>
      <c r="D1880" t="str">
        <f t="shared" ref="D1880:D1885" si="121">"USD"</f>
        <v>USD</v>
      </c>
      <c r="E1880" t="str">
        <f>"2009"</f>
        <v>2009</v>
      </c>
      <c r="F1880" t="str">
        <f>"Gault"</f>
        <v>Gault</v>
      </c>
      <c r="G1880" t="str">
        <f>"avanddanesh"</f>
        <v>avanddanesh</v>
      </c>
    </row>
    <row r="1881" spans="1:7" x14ac:dyDescent="0.25">
      <c r="A1881" t="str">
        <f>"Understanding Biocorrosion, Fundamentals and Applications"</f>
        <v>Understanding Biocorrosion, Fundamentals and Applications</v>
      </c>
      <c r="B1881" t="str">
        <f>"9780081015469"</f>
        <v>9780081015469</v>
      </c>
      <c r="C1881">
        <v>238.5</v>
      </c>
      <c r="D1881" t="str">
        <f t="shared" si="121"/>
        <v>USD</v>
      </c>
      <c r="E1881" t="str">
        <f>"2017"</f>
        <v>2017</v>
      </c>
      <c r="F1881" t="str">
        <f>"Liengen et al"</f>
        <v>Liengen et al</v>
      </c>
      <c r="G1881" t="str">
        <f>"dehkadehketab"</f>
        <v>dehkadehketab</v>
      </c>
    </row>
    <row r="1882" spans="1:7" x14ac:dyDescent="0.25">
      <c r="A1882" t="str">
        <f>"UNDERSTANDING CHEMISTRY"</f>
        <v>UNDERSTANDING CHEMISTRY</v>
      </c>
      <c r="B1882" t="str">
        <f>"9780071215954"</f>
        <v>9780071215954</v>
      </c>
      <c r="C1882">
        <v>23.1</v>
      </c>
      <c r="D1882" t="str">
        <f t="shared" si="121"/>
        <v>USD</v>
      </c>
      <c r="E1882" t="str">
        <f>"2004"</f>
        <v>2004</v>
      </c>
      <c r="F1882" t="str">
        <f>"CHANG; LOVETT"</f>
        <v>CHANG; LOVETT</v>
      </c>
      <c r="G1882" t="str">
        <f>"safirketab"</f>
        <v>safirketab</v>
      </c>
    </row>
    <row r="1883" spans="1:7" x14ac:dyDescent="0.25">
      <c r="A1883" t="str">
        <f>"Understanding Diabetes: A Biochemical Perspective"</f>
        <v>Understanding Diabetes: A Biochemical Perspective</v>
      </c>
      <c r="B1883" t="str">
        <f>"9781118350096"</f>
        <v>9781118350096</v>
      </c>
      <c r="C1883">
        <v>69.5</v>
      </c>
      <c r="D1883" t="str">
        <f t="shared" si="121"/>
        <v>USD</v>
      </c>
      <c r="E1883" t="str">
        <f>"2013"</f>
        <v>2013</v>
      </c>
      <c r="F1883" t="str">
        <f>"Dods"</f>
        <v>Dods</v>
      </c>
      <c r="G1883" t="str">
        <f>"avanddanesh"</f>
        <v>avanddanesh</v>
      </c>
    </row>
    <row r="1884" spans="1:7" x14ac:dyDescent="0.25">
      <c r="A1884" t="str">
        <f>"Understanding Membrane Distillation and Osmotic Distillation"</f>
        <v>Understanding Membrane Distillation and Osmotic Distillation</v>
      </c>
      <c r="B1884" t="str">
        <f>"9780470122167"</f>
        <v>9780470122167</v>
      </c>
      <c r="C1884">
        <v>153</v>
      </c>
      <c r="D1884" t="str">
        <f t="shared" si="121"/>
        <v>USD</v>
      </c>
      <c r="E1884" t="str">
        <f>"2017"</f>
        <v>2017</v>
      </c>
      <c r="F1884" t="str">
        <f>"Johnson"</f>
        <v>Johnson</v>
      </c>
      <c r="G1884" t="str">
        <f>"avanddanesh"</f>
        <v>avanddanesh</v>
      </c>
    </row>
    <row r="1885" spans="1:7" x14ac:dyDescent="0.25">
      <c r="A1885" t="str">
        <f>"Understanding Organometallic Reaction Mechanisms and Catalysis: Computational and Experimental Tools"</f>
        <v>Understanding Organometallic Reaction Mechanisms and Catalysis: Computational and Experimental Tools</v>
      </c>
      <c r="B1885" t="str">
        <f>"9783527335626"</f>
        <v>9783527335626</v>
      </c>
      <c r="C1885">
        <v>147</v>
      </c>
      <c r="D1885" t="str">
        <f t="shared" si="121"/>
        <v>USD</v>
      </c>
      <c r="E1885" t="str">
        <f>"2014"</f>
        <v>2014</v>
      </c>
      <c r="F1885" t="str">
        <f>"Ananikov"</f>
        <v>Ananikov</v>
      </c>
      <c r="G1885" t="str">
        <f>"avanddanesh"</f>
        <v>avanddanesh</v>
      </c>
    </row>
    <row r="1886" spans="1:7" x14ac:dyDescent="0.25">
      <c r="A1886" t="str">
        <f>"Undrestanding Advance organic and analytic chemistry :text book"</f>
        <v>Undrestanding Advance organic and analytic chemistry :text book</v>
      </c>
      <c r="B1886" t="str">
        <f>"9789814733984"</f>
        <v>9789814733984</v>
      </c>
      <c r="C1886">
        <v>27.2</v>
      </c>
      <c r="D1886" t="str">
        <f>"GBP"</f>
        <v>GBP</v>
      </c>
      <c r="E1886" t="str">
        <f>"2016"</f>
        <v>2016</v>
      </c>
      <c r="F1886" t="str">
        <f>"Kim seng Chan"</f>
        <v>Kim seng Chan</v>
      </c>
      <c r="G1886" t="str">
        <f>"AsarBartar"</f>
        <v>AsarBartar</v>
      </c>
    </row>
    <row r="1887" spans="1:7" x14ac:dyDescent="0.25">
      <c r="A1887" t="str">
        <f>"Undrestanding Advanced physical Inorganic Chemistry :the Learner's Approach"</f>
        <v>Undrestanding Advanced physical Inorganic Chemistry :the Learner's Approach</v>
      </c>
      <c r="B1887" t="str">
        <f>"9789814733953"</f>
        <v>9789814733953</v>
      </c>
      <c r="C1887">
        <v>28.8</v>
      </c>
      <c r="D1887" t="str">
        <f>"GBP"</f>
        <v>GBP</v>
      </c>
      <c r="E1887" t="str">
        <f>"2017"</f>
        <v>2017</v>
      </c>
      <c r="F1887" t="str">
        <f>"Kim seng Chan"</f>
        <v>Kim seng Chan</v>
      </c>
      <c r="G1887" t="str">
        <f>"AsarBartar"</f>
        <v>AsarBartar</v>
      </c>
    </row>
    <row r="1888" spans="1:7" x14ac:dyDescent="0.25">
      <c r="A1888" t="str">
        <f>"Unit Operations And Unit Processing Including Computer Programs, HB"</f>
        <v>Unit Operations And Unit Processing Including Computer Programs, HB</v>
      </c>
      <c r="B1888" t="str">
        <f>"9788123913421"</f>
        <v>9788123913421</v>
      </c>
      <c r="C1888">
        <v>37.24</v>
      </c>
      <c r="D1888" t="str">
        <f>"USD"</f>
        <v>USD</v>
      </c>
      <c r="E1888" t="str">
        <f>"2006"</f>
        <v>2006</v>
      </c>
      <c r="F1888" t="str">
        <f>"Narayannan"</f>
        <v>Narayannan</v>
      </c>
      <c r="G1888" t="str">
        <f>"supply"</f>
        <v>supply</v>
      </c>
    </row>
    <row r="1889" spans="1:7" x14ac:dyDescent="0.25">
      <c r="A1889" t="str">
        <f>"Upstream Industrial Biotechnology, 2V Set"</f>
        <v>Upstream Industrial Biotechnology, 2V Set</v>
      </c>
      <c r="B1889" t="str">
        <f>"9781118131237"</f>
        <v>9781118131237</v>
      </c>
      <c r="C1889">
        <v>351</v>
      </c>
      <c r="D1889" t="str">
        <f>"USD"</f>
        <v>USD</v>
      </c>
      <c r="E1889" t="str">
        <f>"2013"</f>
        <v>2013</v>
      </c>
      <c r="F1889" t="str">
        <f>"Flickinger"</f>
        <v>Flickinger</v>
      </c>
      <c r="G1889" t="str">
        <f>"avanddanesh"</f>
        <v>avanddanesh</v>
      </c>
    </row>
    <row r="1890" spans="1:7" x14ac:dyDescent="0.25">
      <c r="A1890" t="str">
        <f>"Using Mass Spectrometry for Biochemical Studies on Enzymatic Domains from Polyketide Synthases"</f>
        <v>Using Mass Spectrometry for Biochemical Studies on Enzymatic Domains from Polyketide Synthases</v>
      </c>
      <c r="B1890" t="str">
        <f>"9783319327228"</f>
        <v>9783319327228</v>
      </c>
      <c r="C1890">
        <v>98.99</v>
      </c>
      <c r="D1890" t="str">
        <f>"EUR"</f>
        <v>EUR</v>
      </c>
      <c r="E1890" t="str">
        <f>"2016"</f>
        <v>2016</v>
      </c>
      <c r="F1890" t="str">
        <f>"Jenner"</f>
        <v>Jenner</v>
      </c>
      <c r="G1890" t="str">
        <f>"negarestanabi"</f>
        <v>negarestanabi</v>
      </c>
    </row>
    <row r="1891" spans="1:7" x14ac:dyDescent="0.25">
      <c r="A1891" t="str">
        <f>"UV-Visible Spectrophotometry of Water and Wastewater, 2nd Edition"</f>
        <v>UV-Visible Spectrophotometry of Water and Wastewater, 2nd Edition</v>
      </c>
      <c r="B1891" t="str">
        <f>"9780444638977"</f>
        <v>9780444638977</v>
      </c>
      <c r="C1891">
        <v>238.5</v>
      </c>
      <c r="D1891" t="str">
        <f>"USD"</f>
        <v>USD</v>
      </c>
      <c r="E1891" t="str">
        <f>"2017"</f>
        <v>2017</v>
      </c>
      <c r="F1891" t="str">
        <f>"Thomas and Burgess"</f>
        <v>Thomas and Burgess</v>
      </c>
      <c r="G1891" t="str">
        <f>"arang"</f>
        <v>arang</v>
      </c>
    </row>
    <row r="1892" spans="1:7" x14ac:dyDescent="0.25">
      <c r="A1892" t="str">
        <f>"Validamycin and Its Derivatives, Discovery, Chemical Synthesis, and Biological Activity"</f>
        <v>Validamycin and Its Derivatives, Discovery, Chemical Synthesis, and Biological Activity</v>
      </c>
      <c r="B1892" t="str">
        <f>"9780081009857"</f>
        <v>9780081009857</v>
      </c>
      <c r="C1892">
        <v>189</v>
      </c>
      <c r="D1892" t="str">
        <f>"USD"</f>
        <v>USD</v>
      </c>
      <c r="E1892" t="str">
        <f>"2017"</f>
        <v>2017</v>
      </c>
      <c r="F1892" t="str">
        <f>"Chen et al"</f>
        <v>Chen et al</v>
      </c>
      <c r="G1892" t="str">
        <f>"dehkadehketab"</f>
        <v>dehkadehketab</v>
      </c>
    </row>
    <row r="1893" spans="1:7" x14ac:dyDescent="0.25">
      <c r="A1893" t="str">
        <f>"Venoms to Drugs: Venom as a Source for the Development of Human Therapeutics"</f>
        <v>Venoms to Drugs: Venom as a Source for the Development of Human Therapeutics</v>
      </c>
      <c r="B1893" t="str">
        <f>"9781849736633"</f>
        <v>9781849736633</v>
      </c>
      <c r="C1893">
        <v>93.5</v>
      </c>
      <c r="D1893" t="str">
        <f>"GBP"</f>
        <v>GBP</v>
      </c>
      <c r="E1893" t="str">
        <f>"2015"</f>
        <v>2015</v>
      </c>
      <c r="F1893" t="str">
        <f>"GLENN F. KING(EDITOR"</f>
        <v>GLENN F. KING(EDITOR</v>
      </c>
      <c r="G1893" t="str">
        <f>"arzinbooks"</f>
        <v>arzinbooks</v>
      </c>
    </row>
    <row r="1894" spans="1:7" x14ac:dyDescent="0.25">
      <c r="A1894" t="str">
        <f>"Vibrational Spectroscopy at Electrified Interfaces"</f>
        <v>Vibrational Spectroscopy at Electrified Interfaces</v>
      </c>
      <c r="B1894" t="str">
        <f>"9781118157176"</f>
        <v>9781118157176</v>
      </c>
      <c r="C1894">
        <v>104</v>
      </c>
      <c r="D1894" t="str">
        <f t="shared" ref="D1894:D1905" si="122">"USD"</f>
        <v>USD</v>
      </c>
      <c r="E1894" t="str">
        <f>"2013"</f>
        <v>2013</v>
      </c>
      <c r="F1894" t="str">
        <f>"Wieckowski"</f>
        <v>Wieckowski</v>
      </c>
      <c r="G1894" t="str">
        <f>"avanddanesh"</f>
        <v>avanddanesh</v>
      </c>
    </row>
    <row r="1895" spans="1:7" x14ac:dyDescent="0.25">
      <c r="A1895" t="str">
        <f>"Vibrational Spectroscopy for Medical Diagnosis"</f>
        <v>Vibrational Spectroscopy for Medical Diagnosis</v>
      </c>
      <c r="B1895" t="str">
        <f>"9780470012147"</f>
        <v>9780470012147</v>
      </c>
      <c r="C1895">
        <v>70</v>
      </c>
      <c r="D1895" t="str">
        <f t="shared" si="122"/>
        <v>USD</v>
      </c>
      <c r="E1895" t="str">
        <f>"2008"</f>
        <v>2008</v>
      </c>
      <c r="F1895" t="str">
        <f>"Diem"</f>
        <v>Diem</v>
      </c>
      <c r="G1895" t="str">
        <f>"safirketab"</f>
        <v>safirketab</v>
      </c>
    </row>
    <row r="1896" spans="1:7" x14ac:dyDescent="0.25">
      <c r="A1896" t="str">
        <f>"Vicinal Diaryl Substituted Heterocycles, A Gold Mine for the Discovery of Novel Therapeutic Agents"</f>
        <v>Vicinal Diaryl Substituted Heterocycles, A Gold Mine for the Discovery of Novel Therapeutic Agents</v>
      </c>
      <c r="B1896" t="str">
        <f>"9780081022160"</f>
        <v>9780081022160</v>
      </c>
      <c r="C1896">
        <v>180</v>
      </c>
      <c r="D1896" t="str">
        <f t="shared" si="122"/>
        <v>USD</v>
      </c>
      <c r="E1896" t="str">
        <f>"2018"</f>
        <v>2018</v>
      </c>
      <c r="F1896" t="str">
        <f>"Yadav et al"</f>
        <v>Yadav et al</v>
      </c>
      <c r="G1896" t="str">
        <f>"dehkadehketab"</f>
        <v>dehkadehketab</v>
      </c>
    </row>
    <row r="1897" spans="1:7" x14ac:dyDescent="0.25">
      <c r="A1897" t="str">
        <f>"Virtual Screening: Principles, Challenges, and Practical Guidelines"</f>
        <v>Virtual Screening: Principles, Challenges, and Practical Guidelines</v>
      </c>
      <c r="B1897" t="str">
        <f>"9783527326365"</f>
        <v>9783527326365</v>
      </c>
      <c r="C1897">
        <v>157.5</v>
      </c>
      <c r="D1897" t="str">
        <f t="shared" si="122"/>
        <v>USD</v>
      </c>
      <c r="E1897" t="str">
        <f>"2011"</f>
        <v>2011</v>
      </c>
      <c r="F1897" t="str">
        <f>"Sotriffer"</f>
        <v>Sotriffer</v>
      </c>
      <c r="G1897" t="str">
        <f>"safirketab"</f>
        <v>safirketab</v>
      </c>
    </row>
    <row r="1898" spans="1:7" x14ac:dyDescent="0.25">
      <c r="A1898" t="str">
        <f>"VISCOSITY OF NEMATIC LIQUID CRYSTALS, HB"</f>
        <v>VISCOSITY OF NEMATIC LIQUID CRYSTALS, HB</v>
      </c>
      <c r="B1898" t="str">
        <f>"9781904602088"</f>
        <v>9781904602088</v>
      </c>
      <c r="C1898">
        <v>98</v>
      </c>
      <c r="D1898" t="str">
        <f t="shared" si="122"/>
        <v>USD</v>
      </c>
      <c r="E1898" t="str">
        <f>"2009"</f>
        <v>2009</v>
      </c>
      <c r="F1898" t="str">
        <f>"Belyaev"</f>
        <v>Belyaev</v>
      </c>
      <c r="G1898" t="str">
        <f>"supply"</f>
        <v>supply</v>
      </c>
    </row>
    <row r="1899" spans="1:7" x14ac:dyDescent="0.25">
      <c r="A1899" t="str">
        <f>"VISCOSITY OF NEMATIC LIQUID CRYSTALS, HB"</f>
        <v>VISCOSITY OF NEMATIC LIQUID CRYSTALS, HB</v>
      </c>
      <c r="B1899" t="str">
        <f>"9788130909448"</f>
        <v>9788130909448</v>
      </c>
      <c r="C1899">
        <v>19.600000000000001</v>
      </c>
      <c r="D1899" t="str">
        <f t="shared" si="122"/>
        <v>USD</v>
      </c>
      <c r="E1899" t="str">
        <f>"2010"</f>
        <v>2010</v>
      </c>
      <c r="F1899" t="str">
        <f>"Belyaev"</f>
        <v>Belyaev</v>
      </c>
      <c r="G1899" t="str">
        <f>"supply"</f>
        <v>supply</v>
      </c>
    </row>
    <row r="1900" spans="1:7" x14ac:dyDescent="0.25">
      <c r="A1900" t="str">
        <f>"Visible Light Photocatalysis in Organic Chemistry"</f>
        <v>Visible Light Photocatalysis in Organic Chemistry</v>
      </c>
      <c r="B1900" t="str">
        <f>"9783527335602"</f>
        <v>9783527335602</v>
      </c>
      <c r="C1900">
        <v>193.5</v>
      </c>
      <c r="D1900" t="str">
        <f t="shared" si="122"/>
        <v>USD</v>
      </c>
      <c r="E1900" t="str">
        <f>"2018"</f>
        <v>2018</v>
      </c>
      <c r="F1900" t="str">
        <f>"Stephenson"</f>
        <v>Stephenson</v>
      </c>
      <c r="G1900" t="str">
        <f>"avanddanesh"</f>
        <v>avanddanesh</v>
      </c>
    </row>
    <row r="1901" spans="1:7" x14ac:dyDescent="0.25">
      <c r="A1901" t="str">
        <f>"Vitamin D HDBK: Structures, Synonyms, and Properties"</f>
        <v>Vitamin D HDBK: Structures, Synonyms, and Properties</v>
      </c>
      <c r="B1901" t="str">
        <f>"9780470139837"</f>
        <v>9780470139837</v>
      </c>
      <c r="C1901">
        <v>81</v>
      </c>
      <c r="D1901" t="str">
        <f t="shared" si="122"/>
        <v>USD</v>
      </c>
      <c r="E1901" t="str">
        <f>"2008"</f>
        <v>2008</v>
      </c>
      <c r="F1901" t="str">
        <f>"Milne"</f>
        <v>Milne</v>
      </c>
      <c r="G1901" t="str">
        <f>"safirketab"</f>
        <v>safirketab</v>
      </c>
    </row>
    <row r="1902" spans="1:7" x14ac:dyDescent="0.25">
      <c r="A1902" t="str">
        <f>"Voet's Principles of Biochemistry Global Edition"</f>
        <v>Voet's Principles of Biochemistry Global Edition</v>
      </c>
      <c r="B1902" t="str">
        <f>"9781119451662"</f>
        <v>9781119451662</v>
      </c>
      <c r="C1902">
        <v>62.1</v>
      </c>
      <c r="D1902" t="str">
        <f t="shared" si="122"/>
        <v>USD</v>
      </c>
      <c r="E1902" t="str">
        <f>"2018"</f>
        <v>2018</v>
      </c>
      <c r="F1902" t="str">
        <f>"Voet"</f>
        <v>Voet</v>
      </c>
      <c r="G1902" t="str">
        <f>"avanddanesh"</f>
        <v>avanddanesh</v>
      </c>
    </row>
    <row r="1903" spans="1:7" x14ac:dyDescent="0.25">
      <c r="A1903" t="str">
        <f>"Voltage-Gated Ion Channels as Drug Targets"</f>
        <v>Voltage-Gated Ion Channels as Drug Targets</v>
      </c>
      <c r="B1903" t="str">
        <f>"9783527312580"</f>
        <v>9783527312580</v>
      </c>
      <c r="C1903">
        <v>168</v>
      </c>
      <c r="D1903" t="str">
        <f t="shared" si="122"/>
        <v>USD</v>
      </c>
      <c r="E1903" t="str">
        <f>"2006"</f>
        <v>2006</v>
      </c>
      <c r="F1903" t="str">
        <f>"Pharmaceutical &amp; Med"</f>
        <v>Pharmaceutical &amp; Med</v>
      </c>
      <c r="G1903" t="str">
        <f>"safirketab"</f>
        <v>safirketab</v>
      </c>
    </row>
    <row r="1904" spans="1:7" x14ac:dyDescent="0.25">
      <c r="A1904" t="str">
        <f>"Waste Biorefinery, Potential and Perspectives"</f>
        <v>Waste Biorefinery, Potential and Perspectives</v>
      </c>
      <c r="B1904" t="str">
        <f>"9780444639875"</f>
        <v>9780444639875</v>
      </c>
      <c r="C1904">
        <v>180</v>
      </c>
      <c r="D1904" t="str">
        <f t="shared" si="122"/>
        <v>USD</v>
      </c>
      <c r="E1904" t="str">
        <f>"2018"</f>
        <v>2018</v>
      </c>
      <c r="F1904" t="str">
        <f>"Pandey et al"</f>
        <v>Pandey et al</v>
      </c>
      <c r="G1904" t="str">
        <f>"dehkadehketab"</f>
        <v>dehkadehketab</v>
      </c>
    </row>
    <row r="1905" spans="1:7" x14ac:dyDescent="0.25">
      <c r="A1905" t="str">
        <f>"Water Reclamation and Sustainability"</f>
        <v>Water Reclamation and Sustainability</v>
      </c>
      <c r="B1905" t="str">
        <f>"9780124116450"</f>
        <v>9780124116450</v>
      </c>
      <c r="C1905">
        <v>207</v>
      </c>
      <c r="D1905" t="str">
        <f t="shared" si="122"/>
        <v>USD</v>
      </c>
      <c r="E1905" t="str">
        <f>"2014"</f>
        <v>2014</v>
      </c>
      <c r="F1905" t="str">
        <f>"Ahuja"</f>
        <v>Ahuja</v>
      </c>
      <c r="G1905" t="str">
        <f>"arang"</f>
        <v>arang</v>
      </c>
    </row>
    <row r="1906" spans="1:7" x14ac:dyDescent="0.25">
      <c r="A1906" t="str">
        <f>"Well-Organized Inorganic Nanowire Films: Assemblies and Functionalities"</f>
        <v>Well-Organized Inorganic Nanowire Films: Assemblies and Functionalities</v>
      </c>
      <c r="B1906" t="str">
        <f>"9789811039461"</f>
        <v>9789811039461</v>
      </c>
      <c r="C1906">
        <v>89.99</v>
      </c>
      <c r="D1906" t="str">
        <f>"EUR"</f>
        <v>EUR</v>
      </c>
      <c r="E1906" t="str">
        <f>"2017"</f>
        <v>2017</v>
      </c>
      <c r="F1906" t="str">
        <f>"Liu"</f>
        <v>Liu</v>
      </c>
      <c r="G1906" t="str">
        <f>"negarestanabi"</f>
        <v>negarestanabi</v>
      </c>
    </row>
    <row r="1907" spans="1:7" x14ac:dyDescent="0.25">
      <c r="A1907" t="str">
        <f>"White's Handbook of Chlorination and Alternative D isinfectants, Fifth Edition"</f>
        <v>White's Handbook of Chlorination and Alternative D isinfectants, Fifth Edition</v>
      </c>
      <c r="B1907" t="str">
        <f>"9780470180983"</f>
        <v>9780470180983</v>
      </c>
      <c r="C1907">
        <v>112.46</v>
      </c>
      <c r="D1907" t="str">
        <f>"USD"</f>
        <v>USD</v>
      </c>
      <c r="E1907" t="str">
        <f>"2010"</f>
        <v>2010</v>
      </c>
      <c r="F1907" t="str">
        <f>"Black &amp; Veatch"</f>
        <v>Black &amp; Veatch</v>
      </c>
      <c r="G1907" t="str">
        <f>"safirketab"</f>
        <v>safirketab</v>
      </c>
    </row>
    <row r="1908" spans="1:7" x14ac:dyDescent="0.25">
      <c r="A1908" t="str">
        <f>"WILDLIFE TOXICOLOGY: EMERGING CONTAMINANT AND BIODIVERSITY ISSUES"</f>
        <v>WILDLIFE TOXICOLOGY: EMERGING CONTAMINANT AND BIODIVERSITY ISSUES</v>
      </c>
      <c r="B1908" t="str">
        <f>"9781439817940"</f>
        <v>9781439817940</v>
      </c>
      <c r="C1908">
        <v>23.09</v>
      </c>
      <c r="D1908" t="str">
        <f>"GBP"</f>
        <v>GBP</v>
      </c>
      <c r="E1908" t="str">
        <f>"2010"</f>
        <v>2010</v>
      </c>
      <c r="F1908" t="str">
        <f>"STEPHEN BOYD COX(ED"</f>
        <v>STEPHEN BOYD COX(ED</v>
      </c>
      <c r="G1908" t="str">
        <f>"AsarBartar"</f>
        <v>AsarBartar</v>
      </c>
    </row>
    <row r="1909" spans="1:7" x14ac:dyDescent="0.25">
      <c r="A1909" t="str">
        <f>"Wiley Encyclopedia of Chemical Biology, 4V Set"</f>
        <v>Wiley Encyclopedia of Chemical Biology, 4V Set</v>
      </c>
      <c r="B1909" t="str">
        <f>"9780471754770"</f>
        <v>9780471754770</v>
      </c>
      <c r="C1909">
        <v>736</v>
      </c>
      <c r="D1909" t="str">
        <f>"USD"</f>
        <v>USD</v>
      </c>
      <c r="E1909" t="str">
        <f>"2009"</f>
        <v>2009</v>
      </c>
      <c r="F1909" t="str">
        <f>"Begley"</f>
        <v>Begley</v>
      </c>
      <c r="G1909" t="str">
        <f>"safirketab"</f>
        <v>safirketab</v>
      </c>
    </row>
    <row r="1910" spans="1:7" x14ac:dyDescent="0.25">
      <c r="A1910" t="str">
        <f>"Wiley Encyclopedia of Chemical Biology,V2"</f>
        <v>Wiley Encyclopedia of Chemical Biology,V2</v>
      </c>
      <c r="B1910" t="str">
        <f>"9780470470183"</f>
        <v>9780470470183</v>
      </c>
      <c r="C1910">
        <v>236.25</v>
      </c>
      <c r="D1910" t="str">
        <f>"USD"</f>
        <v>USD</v>
      </c>
      <c r="E1910" t="str">
        <f>"2009"</f>
        <v>2009</v>
      </c>
      <c r="F1910" t="str">
        <f>"Begley"</f>
        <v>Begley</v>
      </c>
      <c r="G1910" t="str">
        <f>"safirketab"</f>
        <v>safirketab</v>
      </c>
    </row>
    <row r="1911" spans="1:7" x14ac:dyDescent="0.25">
      <c r="A1911" t="str">
        <f>"Wiley's Remediation Technologies Handbook : Major Contaminant Chemicals and Chemical Groups "</f>
        <v xml:space="preserve">Wiley's Remediation Technologies Handbook : Major Contaminant Chemicals and Chemical Groups </v>
      </c>
      <c r="B1911" t="str">
        <f>"9780471455998"</f>
        <v>9780471455998</v>
      </c>
      <c r="C1911">
        <v>126</v>
      </c>
      <c r="D1911" t="str">
        <f>"USD"</f>
        <v>USD</v>
      </c>
      <c r="E1911" t="str">
        <f>"2004"</f>
        <v>2004</v>
      </c>
      <c r="F1911" t="str">
        <f>"Jay H. Lehr"</f>
        <v>Jay H. Lehr</v>
      </c>
      <c r="G1911" t="str">
        <f>"safirketab"</f>
        <v>safirketab</v>
      </c>
    </row>
    <row r="1912" spans="1:7" x14ac:dyDescent="0.25">
      <c r="A1912" t="str">
        <f>"Wilson And Gisvold's Textbook Of Organic Medicinal And Pharmaceutical Chemistry"</f>
        <v>Wilson And Gisvold's Textbook Of Organic Medicinal And Pharmaceutical Chemistry</v>
      </c>
      <c r="B1912" t="str">
        <f>"9781609133986"</f>
        <v>9781609133986</v>
      </c>
      <c r="C1912">
        <v>46.5</v>
      </c>
      <c r="D1912" t="str">
        <f>"USD"</f>
        <v>USD</v>
      </c>
      <c r="E1912" t="str">
        <f>"2010"</f>
        <v>2010</v>
      </c>
      <c r="F1912" t="str">
        <f>"Beale"</f>
        <v>Beale</v>
      </c>
      <c r="G1912" t="str">
        <f>"Parsian Publication"</f>
        <v>Parsian Publication</v>
      </c>
    </row>
    <row r="1913" spans="1:7" x14ac:dyDescent="0.25">
      <c r="A1913" t="str">
        <f>"Wind Turbine Airfoils and BladesOptimization Design Theory"</f>
        <v>Wind Turbine Airfoils and BladesOptimization Design Theory</v>
      </c>
      <c r="B1913" t="str">
        <f>"9783110344219"</f>
        <v>9783110344219</v>
      </c>
      <c r="C1913">
        <v>89.95</v>
      </c>
      <c r="D1913" t="str">
        <f>"EUR"</f>
        <v>EUR</v>
      </c>
      <c r="E1913" t="str">
        <f>"2018"</f>
        <v>2018</v>
      </c>
      <c r="F1913" t="str">
        <f>"Jin Chen Quan Wang"</f>
        <v>Jin Chen Quan Wang</v>
      </c>
      <c r="G1913" t="str">
        <f>"AsarBartar"</f>
        <v>AsarBartar</v>
      </c>
    </row>
    <row r="1914" spans="1:7" x14ac:dyDescent="0.25">
      <c r="A1914" t="str">
        <f>"Workbook with Solutions to accompany General Chemistry: The Essential Concepts"</f>
        <v>Workbook with Solutions to accompany General Chemistry: The Essential Concepts</v>
      </c>
      <c r="B1914" t="str">
        <f>"9780077623319"</f>
        <v>9780077623319</v>
      </c>
      <c r="C1914">
        <v>69</v>
      </c>
      <c r="D1914" t="str">
        <f>"USD"</f>
        <v>USD</v>
      </c>
      <c r="E1914" t="str">
        <f>"2013"</f>
        <v>2013</v>
      </c>
      <c r="F1914" t="str">
        <f>"Chang"</f>
        <v>Chang</v>
      </c>
      <c r="G1914" t="str">
        <f>"Parsian Publication"</f>
        <v>Parsian Publication</v>
      </c>
    </row>
    <row r="1915" spans="1:7" x14ac:dyDescent="0.25">
      <c r="A1915" t="str">
        <f>"Working Back:A Systems View"</f>
        <v>Working Back:A Systems View</v>
      </c>
      <c r="B1915" t="str">
        <f>"9780470134054"</f>
        <v>9780470134054</v>
      </c>
      <c r="C1915">
        <v>51.2</v>
      </c>
      <c r="D1915" t="str">
        <f>"USD"</f>
        <v>USD</v>
      </c>
      <c r="E1915" t="str">
        <f>"2008"</f>
        <v>2008</v>
      </c>
      <c r="F1915" t="str">
        <f>"Marras"</f>
        <v>Marras</v>
      </c>
      <c r="G1915" t="str">
        <f>"safirketab"</f>
        <v>safirketab</v>
      </c>
    </row>
    <row r="1916" spans="1:7" x14ac:dyDescent="0.25">
      <c r="A1916" t="str">
        <f>"WORLD SCIENTIFIC ENCYCLOPEDIA OF NANOMEDICINE AND BIOENGINEERING II, THE: BIOIMPLANTS, REGENERATIVE MEDICINE, AND NANO-CANCER DIAGNOSIS AND PHOTOTHER"</f>
        <v>WORLD SCIENTIFIC ENCYCLOPEDIA OF NANOMEDICINE AND BIOENGINEERING II, THE: BIOIMPLANTS, REGENERATIVE MEDICINE, AND NANO-CANCER DIAGNOSIS AND PHOTOTHER</v>
      </c>
      <c r="B1916" t="str">
        <f>"9789814667586"</f>
        <v>9789814667586</v>
      </c>
      <c r="C1916">
        <v>617.4</v>
      </c>
      <c r="D1916" t="str">
        <f>"GBP"</f>
        <v>GBP</v>
      </c>
      <c r="E1916" t="str">
        <f>"2017"</f>
        <v>2017</v>
      </c>
      <c r="F1916" t="str">
        <f>"SHI DONGLU"</f>
        <v>SHI DONGLU</v>
      </c>
      <c r="G1916" t="str">
        <f>"AsarBartar"</f>
        <v>AsarBartar</v>
      </c>
    </row>
    <row r="1917" spans="1:7" x14ac:dyDescent="0.25">
      <c r="A1917" t="str">
        <f>"Writing Chemistry Patents and Intellectual Property: A Practical Guide"</f>
        <v>Writing Chemistry Patents and Intellectual Property: A Practical Guide</v>
      </c>
      <c r="B1917" t="str">
        <f>"9780470497401"</f>
        <v>9780470497401</v>
      </c>
      <c r="C1917">
        <v>37.200000000000003</v>
      </c>
      <c r="D1917" t="str">
        <f t="shared" ref="D1917:D1922" si="123">"USD"</f>
        <v>USD</v>
      </c>
      <c r="E1917" t="str">
        <f>"2011"</f>
        <v>2011</v>
      </c>
      <c r="F1917" t="str">
        <f>"Waller"</f>
        <v>Waller</v>
      </c>
      <c r="G1917" t="str">
        <f>"avanddanesh"</f>
        <v>avanddanesh</v>
      </c>
    </row>
    <row r="1918" spans="1:7" x14ac:dyDescent="0.25">
      <c r="A1918" t="str">
        <f>"X-Ray Absorption and X-Ray Emission Spectroscopy: Theory and Applications"</f>
        <v>X-Ray Absorption and X-Ray Emission Spectroscopy: Theory and Applications</v>
      </c>
      <c r="B1918" t="str">
        <f>"9781118844236"</f>
        <v>9781118844236</v>
      </c>
      <c r="C1918">
        <v>246.5</v>
      </c>
      <c r="D1918" t="str">
        <f t="shared" si="123"/>
        <v>USD</v>
      </c>
      <c r="E1918" t="str">
        <f>"2016"</f>
        <v>2016</v>
      </c>
      <c r="F1918" t="str">
        <f>"van Bokhoven"</f>
        <v>van Bokhoven</v>
      </c>
      <c r="G1918" t="str">
        <f>"avanddanesh"</f>
        <v>avanddanesh</v>
      </c>
    </row>
    <row r="1919" spans="1:7" x14ac:dyDescent="0.25">
      <c r="A1919" t="str">
        <f>"X-ray Absorption Spectroscopy for the Chemical and Materials Sciences"</f>
        <v>X-ray Absorption Spectroscopy for the Chemical and Materials Sciences</v>
      </c>
      <c r="B1919" t="str">
        <f>"9781119990901"</f>
        <v>9781119990901</v>
      </c>
      <c r="C1919">
        <v>49.5</v>
      </c>
      <c r="D1919" t="str">
        <f t="shared" si="123"/>
        <v>USD</v>
      </c>
      <c r="E1919" t="str">
        <f>"2018"</f>
        <v>2018</v>
      </c>
      <c r="F1919" t="str">
        <f>"Evans"</f>
        <v>Evans</v>
      </c>
      <c r="G1919" t="str">
        <f>"avanddanesh"</f>
        <v>avanddanesh</v>
      </c>
    </row>
    <row r="1920" spans="1:7" x14ac:dyDescent="0.25">
      <c r="A1920" t="str">
        <f>"X-RAY SPECTROSCOPY, HB,          'NEW'"</f>
        <v>X-RAY SPECTROSCOPY, HB,          'NEW'</v>
      </c>
      <c r="B1920" t="str">
        <f>"9789533079677"</f>
        <v>9789533079677</v>
      </c>
      <c r="C1920">
        <v>63</v>
      </c>
      <c r="D1920" t="str">
        <f t="shared" si="123"/>
        <v>USD</v>
      </c>
      <c r="E1920" t="str">
        <f>"2014"</f>
        <v>2014</v>
      </c>
      <c r="F1920" t="str">
        <f>"Sharma S. K. "</f>
        <v xml:space="preserve">Sharma S. K. </v>
      </c>
      <c r="G1920" t="str">
        <f>"supply"</f>
        <v>supply</v>
      </c>
    </row>
    <row r="1921" spans="1:7" x14ac:dyDescent="0.25">
      <c r="A1921" t="str">
        <f>"Zero Waste Engineering: A New Era of Sustainable Technology Development,2e"</f>
        <v>Zero Waste Engineering: A New Era of Sustainable Technology Development,2e</v>
      </c>
      <c r="B1921" t="str">
        <f>"9781119184898"</f>
        <v>9781119184898</v>
      </c>
      <c r="C1921">
        <v>211.7</v>
      </c>
      <c r="D1921" t="str">
        <f t="shared" si="123"/>
        <v>USD</v>
      </c>
      <c r="E1921" t="str">
        <f>"2016"</f>
        <v>2016</v>
      </c>
      <c r="F1921" t="str">
        <f>"Khan"</f>
        <v>Khan</v>
      </c>
      <c r="G1921" t="str">
        <f>"avanddanesh"</f>
        <v>avanddanesh</v>
      </c>
    </row>
    <row r="1922" spans="1:7" x14ac:dyDescent="0.25">
      <c r="A1922" t="str">
        <f>"Zinc Catalysis: Applications in Organic Synthesis Applications in Organic Synthesis"</f>
        <v>Zinc Catalysis: Applications in Organic Synthesis Applications in Organic Synthesis</v>
      </c>
      <c r="B1922" t="str">
        <f>"9783527335985"</f>
        <v>9783527335985</v>
      </c>
      <c r="C1922">
        <v>156.80000000000001</v>
      </c>
      <c r="D1922" t="str">
        <f t="shared" si="123"/>
        <v>USD</v>
      </c>
      <c r="E1922" t="str">
        <f>"2015"</f>
        <v>2015</v>
      </c>
      <c r="F1922" t="str">
        <f>"Enthaler"</f>
        <v>Enthaler</v>
      </c>
      <c r="G1922" t="str">
        <f>"avanddanesh"</f>
        <v>avanddanesh</v>
      </c>
    </row>
    <row r="1924" spans="1:7" ht="15" customHeight="1" x14ac:dyDescent="0.25">
      <c r="A1924" s="1" t="s">
        <v>10</v>
      </c>
      <c r="B1924" s="2"/>
      <c r="C1924" s="2"/>
      <c r="D1924" s="2"/>
      <c r="E1924" s="2"/>
      <c r="F1924" s="2"/>
      <c r="G1924" s="2"/>
    </row>
    <row r="1925" spans="1:7" x14ac:dyDescent="0.25">
      <c r="A1925" s="2"/>
      <c r="B1925" s="2"/>
      <c r="C1925" s="2"/>
      <c r="D1925" s="2"/>
      <c r="E1925" s="2"/>
      <c r="F1925" s="2"/>
      <c r="G1925" s="2"/>
    </row>
    <row r="1926" spans="1:7" x14ac:dyDescent="0.25">
      <c r="A1926" s="3" t="s">
        <v>0</v>
      </c>
      <c r="B1926" s="4" t="s">
        <v>1</v>
      </c>
      <c r="C1926" s="3" t="s">
        <v>2</v>
      </c>
      <c r="D1926" s="3" t="s">
        <v>3</v>
      </c>
      <c r="E1926" s="3" t="s">
        <v>4</v>
      </c>
      <c r="F1926" s="3" t="s">
        <v>5</v>
      </c>
      <c r="G1926" s="3" t="s">
        <v>6</v>
      </c>
    </row>
    <row r="1927" spans="1:7" x14ac:dyDescent="0.25">
      <c r="A1927" t="str">
        <f>"10 Principles of Food Industry Sustainability"</f>
        <v>10 Principles of Food Industry Sustainability</v>
      </c>
      <c r="B1927" t="str">
        <f>"9781118447734"</f>
        <v>9781118447734</v>
      </c>
      <c r="C1927">
        <v>60</v>
      </c>
      <c r="D1927" t="str">
        <f t="shared" ref="D1927:D1935" si="124">"USD"</f>
        <v>USD</v>
      </c>
      <c r="E1927" t="str">
        <f>"2015"</f>
        <v>2015</v>
      </c>
      <c r="F1927" t="str">
        <f>"Baldwin"</f>
        <v>Baldwin</v>
      </c>
      <c r="G1927" t="str">
        <f>"avanddanesh"</f>
        <v>avanddanesh</v>
      </c>
    </row>
    <row r="1928" spans="1:7" x14ac:dyDescent="0.25">
      <c r="A1928" t="str">
        <f>"100 Best Gluten-Free Recipes"</f>
        <v>100 Best Gluten-Free Recipes</v>
      </c>
      <c r="B1928" t="str">
        <f>"9780470475836"</f>
        <v>9780470475836</v>
      </c>
      <c r="C1928">
        <v>6.8</v>
      </c>
      <c r="D1928" t="str">
        <f t="shared" si="124"/>
        <v>USD</v>
      </c>
      <c r="E1928" t="str">
        <f>"2010"</f>
        <v>2010</v>
      </c>
      <c r="F1928" t="str">
        <f>"Fenster"</f>
        <v>Fenster</v>
      </c>
      <c r="G1928" t="str">
        <f>"avanddanesh"</f>
        <v>avanddanesh</v>
      </c>
    </row>
    <row r="1929" spans="1:7" x14ac:dyDescent="0.25">
      <c r="A1929" t="str">
        <f>"3 Ways To Dinner: New Ideas for Favorite Main Dish Ingredients"</f>
        <v>3 Ways To Dinner: New Ideas for Favorite Main Dish Ingredients</v>
      </c>
      <c r="B1929" t="str">
        <f>"9780764566097"</f>
        <v>9780764566097</v>
      </c>
      <c r="C1929">
        <v>5.6</v>
      </c>
      <c r="D1929" t="str">
        <f t="shared" si="124"/>
        <v>USD</v>
      </c>
      <c r="E1929" t="str">
        <f>"2002"</f>
        <v>2002</v>
      </c>
      <c r="F1929" t="str">
        <f>"Garron"</f>
        <v>Garron</v>
      </c>
      <c r="G1929" t="str">
        <f>"avanddanesh"</f>
        <v>avanddanesh</v>
      </c>
    </row>
    <row r="1930" spans="1:7" x14ac:dyDescent="0.25">
      <c r="A1930" t="str">
        <f>"A Complete Course in Canning and Related Processes, Volume 2 Microbiology, Packaging, HACCP and Ingredients, 14th Edition"</f>
        <v>A Complete Course in Canning and Related Processes, Volume 2 Microbiology, Packaging, HACCP and Ingredients, 14th Edition</v>
      </c>
      <c r="B1930" t="str">
        <f>"9780081015773"</f>
        <v>9780081015773</v>
      </c>
      <c r="C1930">
        <v>211.5</v>
      </c>
      <c r="D1930" t="str">
        <f t="shared" si="124"/>
        <v>USD</v>
      </c>
      <c r="E1930" t="str">
        <f>"2017"</f>
        <v>2017</v>
      </c>
      <c r="F1930" t="str">
        <f>"Featherstone"</f>
        <v>Featherstone</v>
      </c>
      <c r="G1930" t="str">
        <f>"dehkadehketab"</f>
        <v>dehkadehketab</v>
      </c>
    </row>
    <row r="1931" spans="1:7" x14ac:dyDescent="0.25">
      <c r="A1931" t="str">
        <f>"A HANDBOOK OF FOODS AND NUTRITION, HB"</f>
        <v>A HANDBOOK OF FOODS AND NUTRITION, HB</v>
      </c>
      <c r="B1931" t="str">
        <f>"9788177541632"</f>
        <v>9788177541632</v>
      </c>
      <c r="C1931">
        <v>19.600000000000001</v>
      </c>
      <c r="D1931" t="str">
        <f t="shared" si="124"/>
        <v>USD</v>
      </c>
      <c r="E1931" t="str">
        <f>"2009"</f>
        <v>2009</v>
      </c>
      <c r="F1931" t="str">
        <f>"Blank"</f>
        <v>Blank</v>
      </c>
      <c r="G1931" t="str">
        <f>"supply"</f>
        <v>supply</v>
      </c>
    </row>
    <row r="1932" spans="1:7" x14ac:dyDescent="0.25">
      <c r="A1932" t="str">
        <f>"A Handbook On Mineral Nutrition And Diagnostic Techniques, HB"</f>
        <v>A Handbook On Mineral Nutrition And Diagnostic Techniques, HB</v>
      </c>
      <c r="B1932" t="str">
        <f>"9788177543230"</f>
        <v>9788177543230</v>
      </c>
      <c r="C1932">
        <v>32.83</v>
      </c>
      <c r="D1932" t="str">
        <f t="shared" si="124"/>
        <v>USD</v>
      </c>
      <c r="E1932" t="str">
        <f>"2011"</f>
        <v>2011</v>
      </c>
      <c r="F1932" t="str">
        <f>"Amoorthi"</f>
        <v>Amoorthi</v>
      </c>
      <c r="G1932" t="str">
        <f>"supply"</f>
        <v>supply</v>
      </c>
    </row>
    <row r="1933" spans="1:7" x14ac:dyDescent="0.25">
      <c r="A1933" t="str">
        <f>"A Practical Guide to Sensory and Consumer Evaluation"</f>
        <v>A Practical Guide to Sensory and Consumer Evaluation</v>
      </c>
      <c r="B1933" t="str">
        <f>"9780081003664"</f>
        <v>9780081003664</v>
      </c>
      <c r="C1933">
        <v>111.6</v>
      </c>
      <c r="D1933" t="str">
        <f t="shared" si="124"/>
        <v>USD</v>
      </c>
      <c r="E1933" t="str">
        <f>"2017"</f>
        <v>2017</v>
      </c>
      <c r="F1933" t="str">
        <f>"Findlay"</f>
        <v>Findlay</v>
      </c>
      <c r="G1933" t="str">
        <f>"dehkadehketab"</f>
        <v>dehkadehketab</v>
      </c>
    </row>
    <row r="1934" spans="1:7" x14ac:dyDescent="0.25">
      <c r="A1934" t="str">
        <f>"Accelerating New Food Product Design and Development"</f>
        <v>Accelerating New Food Product Design and Development</v>
      </c>
      <c r="B1934" t="str">
        <f>"9780813808093"</f>
        <v>9780813808093</v>
      </c>
      <c r="C1934">
        <v>131.99</v>
      </c>
      <c r="D1934" t="str">
        <f t="shared" si="124"/>
        <v>USD</v>
      </c>
      <c r="E1934" t="str">
        <f>"2007"</f>
        <v>2007</v>
      </c>
      <c r="F1934" t="str">
        <f>"Beckley"</f>
        <v>Beckley</v>
      </c>
      <c r="G1934" t="str">
        <f>"safirketab"</f>
        <v>safirketab</v>
      </c>
    </row>
    <row r="1935" spans="1:7" x14ac:dyDescent="0.25">
      <c r="A1935" t="str">
        <f>"Accelerating New Food Product Design and Development,2e"</f>
        <v>Accelerating New Food Product Design and Development,2e</v>
      </c>
      <c r="B1935" t="str">
        <f>"9781119149309"</f>
        <v>9781119149309</v>
      </c>
      <c r="C1935">
        <v>180</v>
      </c>
      <c r="D1935" t="str">
        <f t="shared" si="124"/>
        <v>USD</v>
      </c>
      <c r="E1935" t="str">
        <f>"2017"</f>
        <v>2017</v>
      </c>
      <c r="F1935" t="str">
        <f>"Beckley"</f>
        <v>Beckley</v>
      </c>
      <c r="G1935" t="str">
        <f>"avanddanesh"</f>
        <v>avanddanesh</v>
      </c>
    </row>
    <row r="1936" spans="1:7" x14ac:dyDescent="0.25">
      <c r="A1936" t="str">
        <f>"Acetic Acid Bacteria: Fundamentals and Food Applications (Food Biology Series)"</f>
        <v>Acetic Acid Bacteria: Fundamentals and Food Applications (Food Biology Series)</v>
      </c>
      <c r="B1936" t="str">
        <f>"9781498763691"</f>
        <v>9781498763691</v>
      </c>
      <c r="C1936">
        <v>97.2</v>
      </c>
      <c r="D1936" t="str">
        <f>"GBP"</f>
        <v>GBP</v>
      </c>
      <c r="E1936" t="str">
        <f>"2017"</f>
        <v>2017</v>
      </c>
      <c r="F1936" t="str">
        <f>"Ilkin Yucel Sengun("</f>
        <v>Ilkin Yucel Sengun(</v>
      </c>
      <c r="G1936" t="str">
        <f>"AsarBartar"</f>
        <v>AsarBartar</v>
      </c>
    </row>
    <row r="1937" spans="1:7" x14ac:dyDescent="0.25">
      <c r="A1937" t="str">
        <f>"Achieving sustainable cultivation of coffeeBreeding and quality traits"</f>
        <v>Achieving sustainable cultivation of coffeeBreeding and quality traits</v>
      </c>
      <c r="B1937" t="str">
        <f>"9781786761521"</f>
        <v>9781786761521</v>
      </c>
      <c r="C1937">
        <v>171</v>
      </c>
      <c r="D1937" t="str">
        <f>"GBP"</f>
        <v>GBP</v>
      </c>
      <c r="E1937" t="str">
        <f>"2018"</f>
        <v>2018</v>
      </c>
      <c r="F1937" t="str">
        <f>"Philippe Lashermes"</f>
        <v>Philippe Lashermes</v>
      </c>
      <c r="G1937" t="str">
        <f>"AsarBartar"</f>
        <v>AsarBartar</v>
      </c>
    </row>
    <row r="1938" spans="1:7" x14ac:dyDescent="0.25">
      <c r="A1938" t="str">
        <f>"Adhesion in Foods: Fundamental Principles and Applications"</f>
        <v>Adhesion in Foods: Fundamental Principles and Applications</v>
      </c>
      <c r="B1938" t="str">
        <f>"9781118851616"</f>
        <v>9781118851616</v>
      </c>
      <c r="C1938">
        <v>130.5</v>
      </c>
      <c r="D1938" t="str">
        <f>"USD"</f>
        <v>USD</v>
      </c>
      <c r="E1938" t="str">
        <f>"2017"</f>
        <v>2017</v>
      </c>
      <c r="F1938" t="str">
        <f>"Nussinovitch"</f>
        <v>Nussinovitch</v>
      </c>
      <c r="G1938" t="str">
        <f>"avanddanesh"</f>
        <v>avanddanesh</v>
      </c>
    </row>
    <row r="1939" spans="1:7" x14ac:dyDescent="0.25">
      <c r="A1939" t="str">
        <f>"Advanced Technologies for Meat Processing, Second Edition (Food Science and Technology)"</f>
        <v>Advanced Technologies for Meat Processing, Second Edition (Food Science and Technology)</v>
      </c>
      <c r="B1939" t="str">
        <f>"9781498754590"</f>
        <v>9781498754590</v>
      </c>
      <c r="C1939">
        <v>114.3</v>
      </c>
      <c r="D1939" t="str">
        <f>"GBP"</f>
        <v>GBP</v>
      </c>
      <c r="E1939" t="str">
        <f>"2017"</f>
        <v>2017</v>
      </c>
      <c r="F1939" t="str">
        <f>"ToldrØ¨"</f>
        <v>ToldrØ¨</v>
      </c>
      <c r="G1939" t="str">
        <f>"sal"</f>
        <v>sal</v>
      </c>
    </row>
    <row r="1940" spans="1:7" x14ac:dyDescent="0.25">
      <c r="A1940" t="str">
        <f>"Advances in Dairy Ingredients"</f>
        <v>Advances in Dairy Ingredients</v>
      </c>
      <c r="B1940" t="str">
        <f>"9780813823959"</f>
        <v>9780813823959</v>
      </c>
      <c r="C1940">
        <v>143</v>
      </c>
      <c r="D1940" t="str">
        <f t="shared" ref="D1940:D1948" si="125">"USD"</f>
        <v>USD</v>
      </c>
      <c r="E1940" t="str">
        <f>"2013"</f>
        <v>2013</v>
      </c>
      <c r="F1940" t="str">
        <f>"Smithers"</f>
        <v>Smithers</v>
      </c>
      <c r="G1940" t="str">
        <f>"avanddanesh"</f>
        <v>avanddanesh</v>
      </c>
    </row>
    <row r="1941" spans="1:7" x14ac:dyDescent="0.25">
      <c r="A1941" t="str">
        <f>"Advances in Dairy Products"</f>
        <v>Advances in Dairy Products</v>
      </c>
      <c r="B1941" t="str">
        <f>"9781118906439"</f>
        <v>9781118906439</v>
      </c>
      <c r="C1941">
        <v>157.5</v>
      </c>
      <c r="D1941" t="str">
        <f t="shared" si="125"/>
        <v>USD</v>
      </c>
      <c r="E1941" t="str">
        <f>"2017"</f>
        <v>2017</v>
      </c>
      <c r="F1941" t="str">
        <f>"Conto"</f>
        <v>Conto</v>
      </c>
      <c r="G1941" t="str">
        <f>"avanddanesh"</f>
        <v>avanddanesh</v>
      </c>
    </row>
    <row r="1942" spans="1:7" x14ac:dyDescent="0.25">
      <c r="A1942" t="str">
        <f>"Advances in Food and Beverage Labelling, Information and Regulations"</f>
        <v>Advances in Food and Beverage Labelling, Information and Regulations</v>
      </c>
      <c r="B1942" t="str">
        <f>"9780081015629"</f>
        <v>9780081015629</v>
      </c>
      <c r="C1942">
        <v>238.5</v>
      </c>
      <c r="D1942" t="str">
        <f t="shared" si="125"/>
        <v>USD</v>
      </c>
      <c r="E1942" t="str">
        <f>"2017"</f>
        <v>2017</v>
      </c>
      <c r="F1942" t="str">
        <f>"Berryman"</f>
        <v>Berryman</v>
      </c>
      <c r="G1942" t="str">
        <f>"dehkadehketab"</f>
        <v>dehkadehketab</v>
      </c>
    </row>
    <row r="1943" spans="1:7" x14ac:dyDescent="0.25">
      <c r="A1943" t="str">
        <f>"Advances in Food and Nutrition Research, Volume81"</f>
        <v>Advances in Food and Nutrition Research, Volume81</v>
      </c>
      <c r="B1943" t="str">
        <f>"9780128119167"</f>
        <v>9780128119167</v>
      </c>
      <c r="C1943">
        <v>163.80000000000001</v>
      </c>
      <c r="D1943" t="str">
        <f t="shared" si="125"/>
        <v>USD</v>
      </c>
      <c r="E1943" t="str">
        <f>"2017"</f>
        <v>2017</v>
      </c>
      <c r="F1943" t="str">
        <f>"Toldra"</f>
        <v>Toldra</v>
      </c>
      <c r="G1943" t="str">
        <f>"dehkadehketab"</f>
        <v>dehkadehketab</v>
      </c>
    </row>
    <row r="1944" spans="1:7" x14ac:dyDescent="0.25">
      <c r="A1944" t="str">
        <f>"Advances in Food and Nutrition Research, Volume82"</f>
        <v>Advances in Food and Nutrition Research, Volume82</v>
      </c>
      <c r="B1944" t="str">
        <f>"9780128126325"</f>
        <v>9780128126325</v>
      </c>
      <c r="C1944">
        <v>163.80000000000001</v>
      </c>
      <c r="D1944" t="str">
        <f t="shared" si="125"/>
        <v>USD</v>
      </c>
      <c r="E1944" t="str">
        <f>"2017"</f>
        <v>2017</v>
      </c>
      <c r="F1944" t="str">
        <f>"Toldra"</f>
        <v>Toldra</v>
      </c>
      <c r="G1944" t="str">
        <f>"dehkadehketab"</f>
        <v>dehkadehketab</v>
      </c>
    </row>
    <row r="1945" spans="1:7" x14ac:dyDescent="0.25">
      <c r="A1945" t="str">
        <f>"Advances in Food Biotechnology"</f>
        <v>Advances in Food Biotechnology</v>
      </c>
      <c r="B1945" t="str">
        <f>"9781118864555"</f>
        <v>9781118864555</v>
      </c>
      <c r="C1945">
        <v>172</v>
      </c>
      <c r="D1945" t="str">
        <f t="shared" si="125"/>
        <v>USD</v>
      </c>
      <c r="E1945" t="str">
        <f>"2015"</f>
        <v>2015</v>
      </c>
      <c r="F1945" t="str">
        <f>"Rai"</f>
        <v>Rai</v>
      </c>
      <c r="G1945" t="str">
        <f>"avanddanesh"</f>
        <v>avanddanesh</v>
      </c>
    </row>
    <row r="1946" spans="1:7" x14ac:dyDescent="0.25">
      <c r="A1946" t="str">
        <f>"Advances in Food Diagnostics,2e"</f>
        <v>Advances in Food Diagnostics,2e</v>
      </c>
      <c r="B1946" t="str">
        <f>"9781119105886"</f>
        <v>9781119105886</v>
      </c>
      <c r="C1946">
        <v>171</v>
      </c>
      <c r="D1946" t="str">
        <f t="shared" si="125"/>
        <v>USD</v>
      </c>
      <c r="E1946" t="str">
        <f>"2017"</f>
        <v>2017</v>
      </c>
      <c r="F1946" t="str">
        <f>"Toldra"</f>
        <v>Toldra</v>
      </c>
      <c r="G1946" t="str">
        <f>"avanddanesh"</f>
        <v>avanddanesh</v>
      </c>
    </row>
    <row r="1947" spans="1:7" x14ac:dyDescent="0.25">
      <c r="A1947" t="str">
        <f>"Advances in Microbial Food Safety"</f>
        <v>Advances in Microbial Food Safety</v>
      </c>
      <c r="B1947" t="str">
        <f>"9780081016008"</f>
        <v>9780081016008</v>
      </c>
      <c r="C1947">
        <v>360</v>
      </c>
      <c r="D1947" t="str">
        <f t="shared" si="125"/>
        <v>USD</v>
      </c>
      <c r="E1947" t="str">
        <f>"2017"</f>
        <v>2017</v>
      </c>
      <c r="F1947" t="str">
        <f>"Sofos"</f>
        <v>Sofos</v>
      </c>
      <c r="G1947" t="str">
        <f>"dehkadehketab"</f>
        <v>dehkadehketab</v>
      </c>
    </row>
    <row r="1948" spans="1:7" x14ac:dyDescent="0.25">
      <c r="A1948" t="str">
        <f>"Advances In Seafood Biochemistry : Composition And Quality, HB"</f>
        <v>Advances In Seafood Biochemistry : Composition And Quality, HB</v>
      </c>
      <c r="B1948" t="str">
        <f>"9788178844770"</f>
        <v>9788178844770</v>
      </c>
      <c r="C1948">
        <v>20.02</v>
      </c>
      <c r="D1948" t="str">
        <f t="shared" si="125"/>
        <v>USD</v>
      </c>
      <c r="E1948" t="str">
        <f>"2009"</f>
        <v>2009</v>
      </c>
      <c r="F1948" t="str">
        <f>"Long"</f>
        <v>Long</v>
      </c>
      <c r="G1948" t="str">
        <f>"supply"</f>
        <v>supply</v>
      </c>
    </row>
    <row r="1949" spans="1:7" x14ac:dyDescent="0.25">
      <c r="A1949" t="str">
        <f>"Advances in Technologies for Producing Food-relevant Polyphenols"</f>
        <v>Advances in Technologies for Producing Food-relevant Polyphenols</v>
      </c>
      <c r="B1949" t="str">
        <f>"9781498714976"</f>
        <v>9781498714976</v>
      </c>
      <c r="C1949">
        <v>119</v>
      </c>
      <c r="D1949" t="str">
        <f>"GBP"</f>
        <v>GBP</v>
      </c>
      <c r="E1949" t="str">
        <f>"2016"</f>
        <v>2016</v>
      </c>
      <c r="F1949" t="str">
        <f>"Jose Cuevas Valenzu"</f>
        <v>Jose Cuevas Valenzu</v>
      </c>
      <c r="G1949" t="str">
        <f>"AsarBartar"</f>
        <v>AsarBartar</v>
      </c>
    </row>
    <row r="1950" spans="1:7" x14ac:dyDescent="0.25">
      <c r="A1950" t="str">
        <f>"Agroecology, Ecosystems, and Sustainability (Advances in Agroecology)"</f>
        <v>Agroecology, Ecosystems, and Sustainability (Advances in Agroecology)</v>
      </c>
      <c r="B1950" t="str">
        <f>"9781482233018"</f>
        <v>9781482233018</v>
      </c>
      <c r="C1950">
        <v>57.8</v>
      </c>
      <c r="D1950" t="str">
        <f>"GBP"</f>
        <v>GBP</v>
      </c>
      <c r="E1950" t="str">
        <f>"2015"</f>
        <v>2015</v>
      </c>
      <c r="F1950" t="str">
        <f>"Noureddine Benkebli"</f>
        <v>Noureddine Benkebli</v>
      </c>
      <c r="G1950" t="str">
        <f>"AsarBartar"</f>
        <v>AsarBartar</v>
      </c>
    </row>
    <row r="1951" spans="1:7" x14ac:dyDescent="0.25">
      <c r="A1951" t="str">
        <f>"AGROTECHNOLOGY FOR DRYLAND FARMING, HB"</f>
        <v>AGROTECHNOLOGY FOR DRYLAND FARMING, HB</v>
      </c>
      <c r="B1951" t="str">
        <f>"9788172337223"</f>
        <v>9788172337223</v>
      </c>
      <c r="C1951">
        <v>40.18</v>
      </c>
      <c r="D1951" t="str">
        <f t="shared" ref="D1951:D1958" si="126">"USD"</f>
        <v>USD</v>
      </c>
      <c r="E1951" t="str">
        <f>"2011"</f>
        <v>2011</v>
      </c>
      <c r="F1951" t="str">
        <f>"Dhopte"</f>
        <v>Dhopte</v>
      </c>
      <c r="G1951" t="str">
        <f>"supply"</f>
        <v>supply</v>
      </c>
    </row>
    <row r="1952" spans="1:7" x14ac:dyDescent="0.25">
      <c r="A1952" t="str">
        <f>"Allergen Management in the Food Industry"</f>
        <v>Allergen Management in the Food Industry</v>
      </c>
      <c r="B1952" t="str">
        <f>"9780470227350"</f>
        <v>9780470227350</v>
      </c>
      <c r="C1952">
        <v>72.8</v>
      </c>
      <c r="D1952" t="str">
        <f t="shared" si="126"/>
        <v>USD</v>
      </c>
      <c r="E1952" t="str">
        <f>"2010"</f>
        <v>2010</v>
      </c>
      <c r="F1952" t="str">
        <f>"Boye"</f>
        <v>Boye</v>
      </c>
      <c r="G1952" t="str">
        <f>"avanddanesh"</f>
        <v>avanddanesh</v>
      </c>
    </row>
    <row r="1953" spans="1:7" x14ac:dyDescent="0.25">
      <c r="A1953" t="str">
        <f>"Allergen Management in the Food Industry"</f>
        <v>Allergen Management in the Food Industry</v>
      </c>
      <c r="B1953" t="str">
        <f>"9780470227350"</f>
        <v>9780470227350</v>
      </c>
      <c r="C1953">
        <v>72.8</v>
      </c>
      <c r="D1953" t="str">
        <f t="shared" si="126"/>
        <v>USD</v>
      </c>
      <c r="E1953" t="str">
        <f>"2010"</f>
        <v>2010</v>
      </c>
      <c r="F1953" t="str">
        <f>"Boye"</f>
        <v>Boye</v>
      </c>
      <c r="G1953" t="str">
        <f>"safirketab"</f>
        <v>safirketab</v>
      </c>
    </row>
    <row r="1954" spans="1:7" x14ac:dyDescent="0.25">
      <c r="A1954" t="str">
        <f>"Alternative and Replacement Foods, Volume17"</f>
        <v>Alternative and Replacement Foods, Volume17</v>
      </c>
      <c r="B1954" t="str">
        <f>"9780128114452"</f>
        <v>9780128114452</v>
      </c>
      <c r="C1954">
        <v>135</v>
      </c>
      <c r="D1954" t="str">
        <f t="shared" si="126"/>
        <v>USD</v>
      </c>
      <c r="E1954" t="str">
        <f>"2018"</f>
        <v>2018</v>
      </c>
      <c r="F1954" t="str">
        <f>"Grumezescu and Holba"</f>
        <v>Grumezescu and Holba</v>
      </c>
      <c r="G1954" t="str">
        <f>"dehkadehketab"</f>
        <v>dehkadehketab</v>
      </c>
    </row>
    <row r="1955" spans="1:7" x14ac:dyDescent="0.25">
      <c r="A1955" t="str">
        <f>"AN INTEGRATED APPROACH TO NEW FOOD PRODUCT DEVELOPMENT"</f>
        <v>AN INTEGRATED APPROACH TO NEW FOOD PRODUCT DEVELOPMENT</v>
      </c>
      <c r="B1955" t="str">
        <f>"9781420065534"</f>
        <v>9781420065534</v>
      </c>
      <c r="C1955">
        <v>138.97</v>
      </c>
      <c r="D1955" t="str">
        <f t="shared" si="126"/>
        <v>USD</v>
      </c>
      <c r="E1955" t="str">
        <f>"2010"</f>
        <v>2010</v>
      </c>
      <c r="F1955" t="str">
        <f>"TIM STRAUS(EDITOR)"</f>
        <v>TIM STRAUS(EDITOR)</v>
      </c>
      <c r="G1955" t="str">
        <f>"safirketab"</f>
        <v>safirketab</v>
      </c>
    </row>
    <row r="1956" spans="1:7" x14ac:dyDescent="0.25">
      <c r="A1956" t="str">
        <f>"Analysis of Endocrine Disrupting Compounds in Food"</f>
        <v>Analysis of Endocrine Disrupting Compounds in Food</v>
      </c>
      <c r="B1956" t="str">
        <f>"9780813818160"</f>
        <v>9780813818160</v>
      </c>
      <c r="C1956">
        <v>192.78</v>
      </c>
      <c r="D1956" t="str">
        <f t="shared" si="126"/>
        <v>USD</v>
      </c>
      <c r="E1956" t="str">
        <f>"2010"</f>
        <v>2010</v>
      </c>
      <c r="F1956" t="str">
        <f>"Nollet"</f>
        <v>Nollet</v>
      </c>
      <c r="G1956" t="str">
        <f>"safirketab"</f>
        <v>safirketab</v>
      </c>
    </row>
    <row r="1957" spans="1:7" x14ac:dyDescent="0.25">
      <c r="A1957" t="str">
        <f>"Analysis of Food Toxins and Toxicants, 2V Set"</f>
        <v>Analysis of Food Toxins and Toxicants, 2V Set</v>
      </c>
      <c r="B1957" t="str">
        <f>"9781118992722"</f>
        <v>9781118992722</v>
      </c>
      <c r="C1957">
        <v>247.5</v>
      </c>
      <c r="D1957" t="str">
        <f t="shared" si="126"/>
        <v>USD</v>
      </c>
      <c r="E1957" t="str">
        <f>"2017"</f>
        <v>2017</v>
      </c>
      <c r="F1957" t="str">
        <f>"Wong"</f>
        <v>Wong</v>
      </c>
      <c r="G1957" t="str">
        <f>"avanddanesh"</f>
        <v>avanddanesh</v>
      </c>
    </row>
    <row r="1958" spans="1:7" x14ac:dyDescent="0.25">
      <c r="A1958" t="str">
        <f>"Anti-Ageing Nutrients: Evidence-based Prevention of Age-Associated Diseases"</f>
        <v>Anti-Ageing Nutrients: Evidence-based Prevention of Age-Associated Diseases</v>
      </c>
      <c r="B1958" t="str">
        <f>"9781118733271"</f>
        <v>9781118733271</v>
      </c>
      <c r="C1958">
        <v>160</v>
      </c>
      <c r="D1958" t="str">
        <f t="shared" si="126"/>
        <v>USD</v>
      </c>
      <c r="E1958" t="str">
        <f>"2015"</f>
        <v>2015</v>
      </c>
      <c r="F1958" t="str">
        <f>"Neves"</f>
        <v>Neves</v>
      </c>
      <c r="G1958" t="str">
        <f>"avanddanesh"</f>
        <v>avanddanesh</v>
      </c>
    </row>
    <row r="1959" spans="1:7" x14ac:dyDescent="0.25">
      <c r="A1959" t="str">
        <f>"Anti-diabetes and Anti-obesity Medicinal Plants and Phytochemicals: Safety. Efficacy. and Action Mechanisms"</f>
        <v>Anti-diabetes and Anti-obesity Medicinal Plants and Phytochemicals: Safety. Efficacy. and Action Mechanisms</v>
      </c>
      <c r="B1959" t="str">
        <f>"9783319541013"</f>
        <v>9783319541013</v>
      </c>
      <c r="C1959">
        <v>107.99</v>
      </c>
      <c r="D1959" t="str">
        <f>"EUR"</f>
        <v>EUR</v>
      </c>
      <c r="E1959" t="str">
        <f>"2017"</f>
        <v>2017</v>
      </c>
      <c r="F1959" t="str">
        <f>"Saad"</f>
        <v>Saad</v>
      </c>
      <c r="G1959" t="str">
        <f>"negarestanabi"</f>
        <v>negarestanabi</v>
      </c>
    </row>
    <row r="1960" spans="1:7" x14ac:dyDescent="0.25">
      <c r="A1960" t="str">
        <f>"Antioxidants and Functional Components in Aquatic Foods"</f>
        <v>Antioxidants and Functional Components in Aquatic Foods</v>
      </c>
      <c r="B1960" t="str">
        <f>"9780813813677"</f>
        <v>9780813813677</v>
      </c>
      <c r="C1960">
        <v>154.5</v>
      </c>
      <c r="D1960" t="str">
        <f>"USD"</f>
        <v>USD</v>
      </c>
      <c r="E1960" t="str">
        <f>"2014"</f>
        <v>2014</v>
      </c>
      <c r="F1960" t="str">
        <f>"Kristinsson"</f>
        <v>Kristinsson</v>
      </c>
      <c r="G1960" t="str">
        <f>"avanddanesh"</f>
        <v>avanddanesh</v>
      </c>
    </row>
    <row r="1961" spans="1:7" x14ac:dyDescent="0.25">
      <c r="A1961" t="str">
        <f>"Appetizers For Dummies"</f>
        <v>Appetizers For Dummies</v>
      </c>
      <c r="B1961" t="str">
        <f>"9780764554391"</f>
        <v>9780764554391</v>
      </c>
      <c r="C1961">
        <v>6.8</v>
      </c>
      <c r="D1961" t="str">
        <f>"USD"</f>
        <v>USD</v>
      </c>
      <c r="E1961" t="str">
        <f>"2002"</f>
        <v>2002</v>
      </c>
      <c r="F1961" t="str">
        <f>"Wilson"</f>
        <v>Wilson</v>
      </c>
      <c r="G1961" t="str">
        <f>"avanddanesh"</f>
        <v>avanddanesh</v>
      </c>
    </row>
    <row r="1962" spans="1:7" x14ac:dyDescent="0.25">
      <c r="A1962" t="str">
        <f>"Applications in High Resolution Mass Spectrometry, Food Safety and Pesticide Residue Analysis"</f>
        <v>Applications in High Resolution Mass Spectrometry, Food Safety and Pesticide Residue Analysis</v>
      </c>
      <c r="B1962" t="str">
        <f>"9780128094624"</f>
        <v>9780128094624</v>
      </c>
      <c r="C1962">
        <v>117</v>
      </c>
      <c r="D1962" t="str">
        <f>"USD"</f>
        <v>USD</v>
      </c>
      <c r="E1962" t="str">
        <f>"2017"</f>
        <v>2017</v>
      </c>
      <c r="F1962" t="str">
        <f>"Romero-GonzÃ¡lez and "</f>
        <v xml:space="preserve">Romero-GonzÃ¡lez and </v>
      </c>
      <c r="G1962" t="str">
        <f>"dehkadehketab"</f>
        <v>dehkadehketab</v>
      </c>
    </row>
    <row r="1963" spans="1:7" x14ac:dyDescent="0.25">
      <c r="A1963" t="str">
        <f>"Applications of Vibrational Spectroscopy in Food Science, 2V Set"</f>
        <v>Applications of Vibrational Spectroscopy in Food Science, 2V Set</v>
      </c>
      <c r="B1963" t="str">
        <f>"9780470742990"</f>
        <v>9780470742990</v>
      </c>
      <c r="C1963">
        <v>162</v>
      </c>
      <c r="D1963" t="str">
        <f>"USD"</f>
        <v>USD</v>
      </c>
      <c r="E1963" t="str">
        <f>"2010"</f>
        <v>2010</v>
      </c>
      <c r="F1963" t="str">
        <f>"Li-Chan"</f>
        <v>Li-Chan</v>
      </c>
      <c r="G1963" t="str">
        <f>"avanddanesh"</f>
        <v>avanddanesh</v>
      </c>
    </row>
    <row r="1964" spans="1:7" x14ac:dyDescent="0.25">
      <c r="A1964" t="str">
        <f>"Aqueous Two-Phase Systems for Bioprocess Development for the Recovery of Biological Products"</f>
        <v>Aqueous Two-Phase Systems for Bioprocess Development for the Recovery of Biological Products</v>
      </c>
      <c r="B1964" t="str">
        <f>"9783319593081"</f>
        <v>9783319593081</v>
      </c>
      <c r="C1964">
        <v>107.99</v>
      </c>
      <c r="D1964" t="str">
        <f>"EUR"</f>
        <v>EUR</v>
      </c>
      <c r="E1964" t="str">
        <f>"2017"</f>
        <v>2017</v>
      </c>
      <c r="F1964" t="str">
        <f>"Rito-Palomares"</f>
        <v>Rito-Palomares</v>
      </c>
      <c r="G1964" t="str">
        <f>"negarestanabi"</f>
        <v>negarestanabi</v>
      </c>
    </row>
    <row r="1965" spans="1:7" x14ac:dyDescent="0.25">
      <c r="A1965" t="str">
        <f>"Art of Charcuterie"</f>
        <v>Art of Charcuterie</v>
      </c>
      <c r="B1965" t="str">
        <f>"9780470197417"</f>
        <v>9780470197417</v>
      </c>
      <c r="C1965">
        <v>109.2</v>
      </c>
      <c r="D1965" t="str">
        <f>"USD"</f>
        <v>USD</v>
      </c>
      <c r="E1965" t="str">
        <f>"2010"</f>
        <v>2010</v>
      </c>
      <c r="F1965" t="str">
        <f>"CIA"</f>
        <v>CIA</v>
      </c>
      <c r="G1965" t="str">
        <f>"avanddanesh"</f>
        <v>avanddanesh</v>
      </c>
    </row>
    <row r="1966" spans="1:7" x14ac:dyDescent="0.25">
      <c r="A1966" t="str">
        <f>"Augmented reality for food marketers and consumers"</f>
        <v>Augmented reality for food marketers and consumers</v>
      </c>
      <c r="B1966" t="str">
        <f>"9789086862993"</f>
        <v>9789086862993</v>
      </c>
      <c r="C1966">
        <v>35.1</v>
      </c>
      <c r="D1966" t="str">
        <f>"EUR"</f>
        <v>EUR</v>
      </c>
      <c r="E1966" t="str">
        <f>"2017"</f>
        <v>2017</v>
      </c>
      <c r="F1966" t="str">
        <f>"Leanne W. S. Loijen"</f>
        <v>Leanne W. S. Loijen</v>
      </c>
      <c r="G1966" t="str">
        <f>"AsarBartar"</f>
        <v>AsarBartar</v>
      </c>
    </row>
    <row r="1967" spans="1:7" x14ac:dyDescent="0.25">
      <c r="A1967" t="str">
        <f>"Authenticity of Foods of Animal Origin"</f>
        <v>Authenticity of Foods of Animal Origin</v>
      </c>
      <c r="B1967" t="str">
        <f>"9781498706414"</f>
        <v>9781498706414</v>
      </c>
      <c r="C1967">
        <v>90.1</v>
      </c>
      <c r="D1967" t="str">
        <f>"GBP"</f>
        <v>GBP</v>
      </c>
      <c r="E1967" t="str">
        <f>"2016"</f>
        <v>2016</v>
      </c>
      <c r="F1967" t="str">
        <f>"Ioannis Sotirios Ar"</f>
        <v>Ioannis Sotirios Ar</v>
      </c>
      <c r="G1967" t="str">
        <f>"AsarBartar"</f>
        <v>AsarBartar</v>
      </c>
    </row>
    <row r="1968" spans="1:7" x14ac:dyDescent="0.25">
      <c r="A1968" t="str">
        <f>"Bacteriophages in the Detection and Control of Foodborne Pathogens"</f>
        <v>Bacteriophages in the Detection and Control of Foodborne Pathogens</v>
      </c>
      <c r="B1968" t="str">
        <f>"9781555815028"</f>
        <v>9781555815028</v>
      </c>
      <c r="C1968">
        <v>141.12</v>
      </c>
      <c r="D1968" t="str">
        <f t="shared" ref="D1968:D1988" si="127">"USD"</f>
        <v>USD</v>
      </c>
      <c r="E1968" t="str">
        <f>"2010"</f>
        <v>2010</v>
      </c>
      <c r="F1968" t="str">
        <f>"Sabour"</f>
        <v>Sabour</v>
      </c>
      <c r="G1968" t="str">
        <f>"safirketab"</f>
        <v>safirketab</v>
      </c>
    </row>
    <row r="1969" spans="1:7" x14ac:dyDescent="0.25">
      <c r="A1969" t="str">
        <f>"Baker's Manual: 150 Master Formulas for Baking,5e"</f>
        <v>Baker's Manual: 150 Master Formulas for Baking,5e</v>
      </c>
      <c r="B1969" t="str">
        <f>"9780471405252"</f>
        <v>9780471405252</v>
      </c>
      <c r="C1969">
        <v>44.4</v>
      </c>
      <c r="D1969" t="str">
        <f t="shared" si="127"/>
        <v>USD</v>
      </c>
      <c r="E1969" t="str">
        <f>"2002"</f>
        <v>2002</v>
      </c>
      <c r="F1969" t="str">
        <f>"Amendola"</f>
        <v>Amendola</v>
      </c>
      <c r="G1969" t="str">
        <f>"avanddanesh"</f>
        <v>avanddanesh</v>
      </c>
    </row>
    <row r="1970" spans="1:7" x14ac:dyDescent="0.25">
      <c r="A1970" t="str">
        <f>"Baking Boot Camp:Five Days of Basic Training at The Culinary Institute of America"</f>
        <v>Baking Boot Camp:Five Days of Basic Training at The Culinary Institute of America</v>
      </c>
      <c r="B1970" t="str">
        <f>"9780764572791"</f>
        <v>9780764572791</v>
      </c>
      <c r="C1970">
        <v>12</v>
      </c>
      <c r="D1970" t="str">
        <f t="shared" si="127"/>
        <v>USD</v>
      </c>
      <c r="E1970" t="str">
        <f>"2007"</f>
        <v>2007</v>
      </c>
      <c r="F1970" t="str">
        <f>"CIA"</f>
        <v>CIA</v>
      </c>
      <c r="G1970" t="str">
        <f>"avanddanesh"</f>
        <v>avanddanesh</v>
      </c>
    </row>
    <row r="1971" spans="1:7" x14ac:dyDescent="0.25">
      <c r="A1971" t="str">
        <f>"Baking Fundamentals"</f>
        <v>Baking Fundamentals</v>
      </c>
      <c r="B1971" t="str">
        <f>"9780131183513"</f>
        <v>9780131183513</v>
      </c>
      <c r="C1971">
        <v>48.57</v>
      </c>
      <c r="D1971" t="str">
        <f t="shared" si="127"/>
        <v>USD</v>
      </c>
      <c r="E1971" t="str">
        <f>"2006"</f>
        <v>2006</v>
      </c>
      <c r="F1971" t="str">
        <f>"American Culinary Fe"</f>
        <v>American Culinary Fe</v>
      </c>
      <c r="G1971" t="str">
        <f>"safirketab"</f>
        <v>safirketab</v>
      </c>
    </row>
    <row r="1972" spans="1:7" x14ac:dyDescent="0.25">
      <c r="A1972" t="str">
        <f>"Baking Unplugged"</f>
        <v>Baking Unplugged</v>
      </c>
      <c r="B1972" t="str">
        <f>"9780470149119"</f>
        <v>9780470149119</v>
      </c>
      <c r="C1972">
        <v>12</v>
      </c>
      <c r="D1972" t="str">
        <f t="shared" si="127"/>
        <v>USD</v>
      </c>
      <c r="E1972" t="str">
        <f>"2009"</f>
        <v>2009</v>
      </c>
      <c r="F1972" t="str">
        <f>"Rees"</f>
        <v>Rees</v>
      </c>
      <c r="G1972" t="str">
        <f t="shared" ref="G1972:G1979" si="128">"avanddanesh"</f>
        <v>avanddanesh</v>
      </c>
    </row>
    <row r="1973" spans="1:7" x14ac:dyDescent="0.25">
      <c r="A1973" t="str">
        <f>"BBQ Sauces, Rubs and Marinades For Dummies"</f>
        <v>BBQ Sauces, Rubs and Marinades For Dummies</v>
      </c>
      <c r="B1973" t="str">
        <f>"9780470199145"</f>
        <v>9780470199145</v>
      </c>
      <c r="C1973">
        <v>6</v>
      </c>
      <c r="D1973" t="str">
        <f t="shared" si="127"/>
        <v>USD</v>
      </c>
      <c r="E1973" t="str">
        <f>"2008"</f>
        <v>2008</v>
      </c>
      <c r="F1973" t="str">
        <f>"Cumbay"</f>
        <v>Cumbay</v>
      </c>
      <c r="G1973" t="str">
        <f t="shared" si="128"/>
        <v>avanddanesh</v>
      </c>
    </row>
    <row r="1974" spans="1:7" x14ac:dyDescent="0.25">
      <c r="A1974" t="str">
        <f>"Beckett's Industrial Chocolate Manufacture and Use,5e"</f>
        <v>Beckett's Industrial Chocolate Manufacture and Use,5e</v>
      </c>
      <c r="B1974" t="str">
        <f>"9781118780145"</f>
        <v>9781118780145</v>
      </c>
      <c r="C1974">
        <v>202.5</v>
      </c>
      <c r="D1974" t="str">
        <f t="shared" si="127"/>
        <v>USD</v>
      </c>
      <c r="E1974" t="str">
        <f>"2017"</f>
        <v>2017</v>
      </c>
      <c r="F1974" t="str">
        <f>"Beckett"</f>
        <v>Beckett</v>
      </c>
      <c r="G1974" t="str">
        <f t="shared" si="128"/>
        <v>avanddanesh</v>
      </c>
    </row>
    <row r="1975" spans="1:7" x14ac:dyDescent="0.25">
      <c r="A1975" t="str">
        <f>"Betty Crocker 30-Minute Meals for Diabetes"</f>
        <v>Betty Crocker 30-Minute Meals for Diabetes</v>
      </c>
      <c r="B1975" t="str">
        <f>"9780470191170"</f>
        <v>9780470191170</v>
      </c>
      <c r="C1975">
        <v>8</v>
      </c>
      <c r="D1975" t="str">
        <f t="shared" si="127"/>
        <v>USD</v>
      </c>
      <c r="E1975" t="str">
        <f>"2008"</f>
        <v>2008</v>
      </c>
      <c r="F1975" t="str">
        <f>"Crocker"</f>
        <v>Crocker</v>
      </c>
      <c r="G1975" t="str">
        <f t="shared" si="128"/>
        <v>avanddanesh</v>
      </c>
    </row>
    <row r="1976" spans="1:7" x14ac:dyDescent="0.25">
      <c r="A1976" t="str">
        <f>"Betty Crocker Celebrate!:A Year-Round Guide to Holiday Food and Fun"</f>
        <v>Betty Crocker Celebrate!:A Year-Round Guide to Holiday Food and Fun</v>
      </c>
      <c r="B1976" t="str">
        <f>"9780764568480"</f>
        <v>9780764568480</v>
      </c>
      <c r="C1976">
        <v>10</v>
      </c>
      <c r="D1976" t="str">
        <f t="shared" si="127"/>
        <v>USD</v>
      </c>
      <c r="E1976" t="str">
        <f>"2004"</f>
        <v>2004</v>
      </c>
      <c r="F1976" t="str">
        <f>"Crocker"</f>
        <v>Crocker</v>
      </c>
      <c r="G1976" t="str">
        <f t="shared" si="128"/>
        <v>avanddanesh</v>
      </c>
    </row>
    <row r="1977" spans="1:7" x14ac:dyDescent="0.25">
      <c r="A1977" t="str">
        <f>"Betty Crocker Chicken Tonight:100 Recipes for the Way You Really Cook"</f>
        <v>Betty Crocker Chicken Tonight:100 Recipes for the Way You Really Cook</v>
      </c>
      <c r="B1977" t="str">
        <f>"9780470173510"</f>
        <v>9780470173510</v>
      </c>
      <c r="C1977">
        <v>6</v>
      </c>
      <c r="D1977" t="str">
        <f t="shared" si="127"/>
        <v>USD</v>
      </c>
      <c r="E1977" t="str">
        <f>"2007"</f>
        <v>2007</v>
      </c>
      <c r="F1977" t="str">
        <f>"Crocker"</f>
        <v>Crocker</v>
      </c>
      <c r="G1977" t="str">
        <f t="shared" si="128"/>
        <v>avanddanesh</v>
      </c>
    </row>
    <row r="1978" spans="1:7" x14ac:dyDescent="0.25">
      <c r="A1978" t="str">
        <f>"Betty Crocker Christmas Cookbook,2e"</f>
        <v>Betty Crocker Christmas Cookbook,2e</v>
      </c>
      <c r="B1978" t="str">
        <f>"9780470874035"</f>
        <v>9780470874035</v>
      </c>
      <c r="C1978">
        <v>8</v>
      </c>
      <c r="D1978" t="str">
        <f t="shared" si="127"/>
        <v>USD</v>
      </c>
      <c r="E1978" t="str">
        <f>"2010"</f>
        <v>2010</v>
      </c>
      <c r="F1978" t="str">
        <f>"Betty Crocker"</f>
        <v>Betty Crocker</v>
      </c>
      <c r="G1978" t="str">
        <f t="shared" si="128"/>
        <v>avanddanesh</v>
      </c>
    </row>
    <row r="1979" spans="1:7" x14ac:dyDescent="0.25">
      <c r="A1979" t="str">
        <f>"Betty Crocker Cooking Calendar, Facsimile Edition"</f>
        <v>Betty Crocker Cooking Calendar, Facsimile Edition</v>
      </c>
      <c r="B1979" t="str">
        <f>"9780470419632"</f>
        <v>9780470419632</v>
      </c>
      <c r="C1979">
        <v>6.8</v>
      </c>
      <c r="D1979" t="str">
        <f t="shared" si="127"/>
        <v>USD</v>
      </c>
      <c r="E1979" t="str">
        <f>"2008"</f>
        <v>2008</v>
      </c>
      <c r="F1979" t="str">
        <f>"Crocker"</f>
        <v>Crocker</v>
      </c>
      <c r="G1979" t="str">
        <f t="shared" si="128"/>
        <v>avanddanesh</v>
      </c>
    </row>
    <row r="1980" spans="1:7" x14ac:dyDescent="0.25">
      <c r="A1980" t="str">
        <f>"Betty Crocker Country Cooking"</f>
        <v>Betty Crocker Country Cooking</v>
      </c>
      <c r="B1980" t="str">
        <f>"9780470194416"</f>
        <v>9780470194416</v>
      </c>
      <c r="C1980">
        <v>19.46</v>
      </c>
      <c r="D1980" t="str">
        <f t="shared" si="127"/>
        <v>USD</v>
      </c>
      <c r="E1980" t="str">
        <f>"2009"</f>
        <v>2009</v>
      </c>
      <c r="F1980" t="str">
        <f>"Betty Crocker"</f>
        <v>Betty Crocker</v>
      </c>
      <c r="G1980" t="str">
        <f>"safirketab"</f>
        <v>safirketab</v>
      </c>
    </row>
    <row r="1981" spans="1:7" x14ac:dyDescent="0.25">
      <c r="A1981" t="str">
        <f>"Betty Crocker Decorating Cakes and Cupcakes"</f>
        <v>Betty Crocker Decorating Cakes and Cupcakes</v>
      </c>
      <c r="B1981" t="str">
        <f>"9780471753070"</f>
        <v>9780471753070</v>
      </c>
      <c r="C1981">
        <v>8</v>
      </c>
      <c r="D1981" t="str">
        <f t="shared" si="127"/>
        <v>USD</v>
      </c>
      <c r="E1981" t="str">
        <f>"2006"</f>
        <v>2006</v>
      </c>
      <c r="F1981" t="str">
        <f t="shared" ref="F1981:F1986" si="129">"Crocker"</f>
        <v>Crocker</v>
      </c>
      <c r="G1981" t="str">
        <f t="shared" ref="G1981:G1987" si="130">"avanddanesh"</f>
        <v>avanddanesh</v>
      </c>
    </row>
    <row r="1982" spans="1:7" x14ac:dyDescent="0.25">
      <c r="A1982" t="str">
        <f>"Betty Crocker Dinner Made Easy with Rotisserie Chicken:Build a Meal Tonight!"</f>
        <v>Betty Crocker Dinner Made Easy with Rotisserie Chicken:Build a Meal Tonight!</v>
      </c>
      <c r="B1982" t="str">
        <f>"9780764570889"</f>
        <v>9780764570889</v>
      </c>
      <c r="C1982">
        <v>8</v>
      </c>
      <c r="D1982" t="str">
        <f t="shared" si="127"/>
        <v>USD</v>
      </c>
      <c r="E1982" t="str">
        <f>"2004"</f>
        <v>2004</v>
      </c>
      <c r="F1982" t="str">
        <f t="shared" si="129"/>
        <v>Crocker</v>
      </c>
      <c r="G1982" t="str">
        <f t="shared" si="130"/>
        <v>avanddanesh</v>
      </c>
    </row>
    <row r="1983" spans="1:7" x14ac:dyDescent="0.25">
      <c r="A1983" t="str">
        <f>"Betty Crocker Easy Slow Cooker Dinners:Delicious Dinners the Whole Family Will Love"</f>
        <v>Betty Crocker Easy Slow Cooker Dinners:Delicious Dinners the Whole Family Will Love</v>
      </c>
      <c r="B1983" t="str">
        <f>"9780764565311"</f>
        <v>9780764565311</v>
      </c>
      <c r="C1983">
        <v>5.2</v>
      </c>
      <c r="D1983" t="str">
        <f t="shared" si="127"/>
        <v>USD</v>
      </c>
      <c r="E1983" t="str">
        <f>"2001"</f>
        <v>2001</v>
      </c>
      <c r="F1983" t="str">
        <f t="shared" si="129"/>
        <v>Crocker</v>
      </c>
      <c r="G1983" t="str">
        <f t="shared" si="130"/>
        <v>avanddanesh</v>
      </c>
    </row>
    <row r="1984" spans="1:7" x14ac:dyDescent="0.25">
      <c r="A1984" t="str">
        <f>"Betty Crocker Outdoor Cook Book"</f>
        <v>Betty Crocker Outdoor Cook Book</v>
      </c>
      <c r="B1984" t="str">
        <f>"9780470419649"</f>
        <v>9780470419649</v>
      </c>
      <c r="C1984">
        <v>6.8</v>
      </c>
      <c r="D1984" t="str">
        <f t="shared" si="127"/>
        <v>USD</v>
      </c>
      <c r="E1984" t="str">
        <f>"2009"</f>
        <v>2009</v>
      </c>
      <c r="F1984" t="str">
        <f t="shared" si="129"/>
        <v>Crocker</v>
      </c>
      <c r="G1984" t="str">
        <f t="shared" si="130"/>
        <v>avanddanesh</v>
      </c>
    </row>
    <row r="1985" spans="1:7" x14ac:dyDescent="0.25">
      <c r="A1985" t="str">
        <f>"Betty Crocker Outdoor Food:100 Recipes for the Way You Really Cook"</f>
        <v>Betty Crocker Outdoor Food:100 Recipes for the Way You Really Cook</v>
      </c>
      <c r="B1985" t="str">
        <f>"9780470278796"</f>
        <v>9780470278796</v>
      </c>
      <c r="C1985">
        <v>6</v>
      </c>
      <c r="D1985" t="str">
        <f t="shared" si="127"/>
        <v>USD</v>
      </c>
      <c r="E1985" t="str">
        <f>"2008"</f>
        <v>2008</v>
      </c>
      <c r="F1985" t="str">
        <f t="shared" si="129"/>
        <v>Crocker</v>
      </c>
      <c r="G1985" t="str">
        <f t="shared" si="130"/>
        <v>avanddanesh</v>
      </c>
    </row>
    <row r="1986" spans="1:7" x14ac:dyDescent="0.25">
      <c r="A1986" t="str">
        <f>"Betty Crocker Party Cookbook, Facsimile Edition"</f>
        <v>Betty Crocker Party Cookbook, Facsimile Edition</v>
      </c>
      <c r="B1986" t="str">
        <f>"9780470386255"</f>
        <v>9780470386255</v>
      </c>
      <c r="C1986">
        <v>6.8</v>
      </c>
      <c r="D1986" t="str">
        <f t="shared" si="127"/>
        <v>USD</v>
      </c>
      <c r="E1986" t="str">
        <f>"2009"</f>
        <v>2009</v>
      </c>
      <c r="F1986" t="str">
        <f t="shared" si="129"/>
        <v>Crocker</v>
      </c>
      <c r="G1986" t="str">
        <f t="shared" si="130"/>
        <v>avanddanesh</v>
      </c>
    </row>
    <row r="1987" spans="1:7" x14ac:dyDescent="0.25">
      <c r="A1987" t="str">
        <f>"Betty Crocker Vegetarian Cooking"</f>
        <v>Betty Crocker Vegetarian Cooking</v>
      </c>
      <c r="B1987" t="str">
        <f>"9781118146088"</f>
        <v>9781118146088</v>
      </c>
      <c r="C1987">
        <v>12</v>
      </c>
      <c r="D1987" t="str">
        <f t="shared" si="127"/>
        <v>USD</v>
      </c>
      <c r="E1987" t="str">
        <f>"2012"</f>
        <v>2012</v>
      </c>
      <c r="F1987" t="str">
        <f>"Betty Crocker"</f>
        <v>Betty Crocker</v>
      </c>
      <c r="G1987" t="str">
        <f t="shared" si="130"/>
        <v>avanddanesh</v>
      </c>
    </row>
    <row r="1988" spans="1:7" x14ac:dyDescent="0.25">
      <c r="A1988" t="str">
        <f>"Beverage Industry Microfiltration"</f>
        <v>Beverage Industry Microfiltration</v>
      </c>
      <c r="B1988" t="str">
        <f>"9780813812717"</f>
        <v>9780813812717</v>
      </c>
      <c r="C1988">
        <v>144.88999999999999</v>
      </c>
      <c r="D1988" t="str">
        <f t="shared" si="127"/>
        <v>USD</v>
      </c>
      <c r="E1988" t="str">
        <f>"2009"</f>
        <v>2009</v>
      </c>
      <c r="F1988" t="str">
        <f>"Starbard"</f>
        <v>Starbard</v>
      </c>
      <c r="G1988" t="str">
        <f>"safirketab"</f>
        <v>safirketab</v>
      </c>
    </row>
    <row r="1989" spans="1:7" x14ac:dyDescent="0.25">
      <c r="A1989" t="str">
        <f>"BEYOND ALTERNATIVE FOOD NETWORKS"</f>
        <v>BEYOND ALTERNATIVE FOOD NETWORKS</v>
      </c>
      <c r="B1989" t="str">
        <f>"9780857852281"</f>
        <v>9780857852281</v>
      </c>
      <c r="C1989">
        <v>15.6</v>
      </c>
      <c r="D1989" t="str">
        <f>"GBP"</f>
        <v>GBP</v>
      </c>
      <c r="E1989" t="str">
        <f>"2013"</f>
        <v>2013</v>
      </c>
      <c r="F1989" t="str">
        <f>"CRISTINA GRASSENI"</f>
        <v>CRISTINA GRASSENI</v>
      </c>
      <c r="G1989" t="str">
        <f>"AsarBartar"</f>
        <v>AsarBartar</v>
      </c>
    </row>
    <row r="1990" spans="1:7" x14ac:dyDescent="0.25">
      <c r="A1990" t="str">
        <f>"Big Green Cookbook:Hundreds of Planet-Pleasin g Recipes and Tips for a Luscious, Low-Carbon Life style"</f>
        <v>Big Green Cookbook:Hundreds of Planet-Pleasin g Recipes and Tips for a Luscious, Low-Carbon Life style</v>
      </c>
      <c r="B1990" t="str">
        <f>"9780470404492"</f>
        <v>9780470404492</v>
      </c>
      <c r="C1990">
        <v>18.71</v>
      </c>
      <c r="D1990" t="str">
        <f t="shared" ref="D1990:D1995" si="131">"USD"</f>
        <v>USD</v>
      </c>
      <c r="E1990" t="str">
        <f>"2010"</f>
        <v>2010</v>
      </c>
      <c r="F1990" t="str">
        <f>"Newgent"</f>
        <v>Newgent</v>
      </c>
      <c r="G1990" t="str">
        <f>"safirketab"</f>
        <v>safirketab</v>
      </c>
    </row>
    <row r="1991" spans="1:7" x14ac:dyDescent="0.25">
      <c r="A1991" t="str">
        <f>"Bioactive Polysaccharides"</f>
        <v>Bioactive Polysaccharides</v>
      </c>
      <c r="B1991" t="str">
        <f>"9780128094174"</f>
        <v>9780128094174</v>
      </c>
      <c r="C1991">
        <v>135</v>
      </c>
      <c r="D1991" t="str">
        <f t="shared" si="131"/>
        <v>USD</v>
      </c>
      <c r="E1991" t="str">
        <f>"2017"</f>
        <v>2017</v>
      </c>
      <c r="F1991" t="str">
        <f>"Nie et al"</f>
        <v>Nie et al</v>
      </c>
      <c r="G1991" t="str">
        <f>"dehkadehketab"</f>
        <v>dehkadehketab</v>
      </c>
    </row>
    <row r="1992" spans="1:7" x14ac:dyDescent="0.25">
      <c r="A1992" t="str">
        <f>"Bioactive Proteins and Peptides as Functional Foods and Nutraceuticals"</f>
        <v>Bioactive Proteins and Peptides as Functional Foods and Nutraceuticals</v>
      </c>
      <c r="B1992" t="str">
        <f>"9780813813110"</f>
        <v>9780813813110</v>
      </c>
      <c r="C1992">
        <v>200.95</v>
      </c>
      <c r="D1992" t="str">
        <f t="shared" si="131"/>
        <v>USD</v>
      </c>
      <c r="E1992" t="str">
        <f>"2010"</f>
        <v>2010</v>
      </c>
      <c r="F1992" t="str">
        <f>"Mine"</f>
        <v>Mine</v>
      </c>
      <c r="G1992" t="str">
        <f>"safirketab"</f>
        <v>safirketab</v>
      </c>
    </row>
    <row r="1993" spans="1:7" x14ac:dyDescent="0.25">
      <c r="A1993" t="str">
        <f>"Bioactive Seaweeds for Food Applications, Natural Ingredients for Healthy Diets"</f>
        <v>Bioactive Seaweeds for Food Applications, Natural Ingredients for Healthy Diets</v>
      </c>
      <c r="B1993" t="str">
        <f>"9780128132968"</f>
        <v>9780128132968</v>
      </c>
      <c r="C1993">
        <v>135</v>
      </c>
      <c r="D1993" t="str">
        <f t="shared" si="131"/>
        <v>USD</v>
      </c>
      <c r="E1993" t="str">
        <f>"2018"</f>
        <v>2018</v>
      </c>
      <c r="F1993" t="str">
        <f>"Qin"</f>
        <v>Qin</v>
      </c>
      <c r="G1993" t="str">
        <f>"dehkadehketab"</f>
        <v>dehkadehketab</v>
      </c>
    </row>
    <row r="1994" spans="1:7" x14ac:dyDescent="0.25">
      <c r="A1994" t="str">
        <f>"Bioactives in Fruit: Health Benefits and Functional Foods"</f>
        <v>Bioactives in Fruit: Health Benefits and Functional Foods</v>
      </c>
      <c r="B1994" t="str">
        <f>"9780470674970"</f>
        <v>9780470674970</v>
      </c>
      <c r="C1994">
        <v>110.5</v>
      </c>
      <c r="D1994" t="str">
        <f t="shared" si="131"/>
        <v>USD</v>
      </c>
      <c r="E1994" t="str">
        <f>"2013"</f>
        <v>2013</v>
      </c>
      <c r="F1994" t="str">
        <f>"Skinner"</f>
        <v>Skinner</v>
      </c>
      <c r="G1994" t="str">
        <f>"avanddanesh"</f>
        <v>avanddanesh</v>
      </c>
    </row>
    <row r="1995" spans="1:7" x14ac:dyDescent="0.25">
      <c r="A1995" t="str">
        <f>"Biofilms in the Dairy Industry"</f>
        <v>Biofilms in the Dairy Industry</v>
      </c>
      <c r="B1995" t="str">
        <f>"9781118876213"</f>
        <v>9781118876213</v>
      </c>
      <c r="C1995">
        <v>132</v>
      </c>
      <c r="D1995" t="str">
        <f t="shared" si="131"/>
        <v>USD</v>
      </c>
      <c r="E1995" t="str">
        <f>"2015"</f>
        <v>2015</v>
      </c>
      <c r="F1995" t="str">
        <f>"Teh"</f>
        <v>Teh</v>
      </c>
      <c r="G1995" t="str">
        <f>"avanddanesh"</f>
        <v>avanddanesh</v>
      </c>
    </row>
    <row r="1996" spans="1:7" x14ac:dyDescent="0.25">
      <c r="A1996" t="str">
        <f>"Biofortification of Food Crops"</f>
        <v>Biofortification of Food Crops</v>
      </c>
      <c r="B1996" t="str">
        <f>"9788132227144"</f>
        <v>9788132227144</v>
      </c>
      <c r="C1996">
        <v>116.99</v>
      </c>
      <c r="D1996" t="str">
        <f>"EUR"</f>
        <v>EUR</v>
      </c>
      <c r="E1996" t="str">
        <f>"2016"</f>
        <v>2016</v>
      </c>
      <c r="F1996" t="str">
        <f>"Singh"</f>
        <v>Singh</v>
      </c>
      <c r="G1996" t="str">
        <f>"negarestanabi"</f>
        <v>negarestanabi</v>
      </c>
    </row>
    <row r="1997" spans="1:7" x14ac:dyDescent="0.25">
      <c r="A1997" t="str">
        <f>"Biological Controls for Preventing Food Deterioration: Strategies for Pre- and Postharvest Management"</f>
        <v>Biological Controls for Preventing Food Deterioration: Strategies for Pre- and Postharvest Management</v>
      </c>
      <c r="B1997" t="str">
        <f>"9781118533062"</f>
        <v>9781118533062</v>
      </c>
      <c r="C1997">
        <v>123.8</v>
      </c>
      <c r="D1997" t="str">
        <f>"USD"</f>
        <v>USD</v>
      </c>
      <c r="E1997" t="str">
        <f>"2014"</f>
        <v>2014</v>
      </c>
      <c r="F1997" t="str">
        <f>"Sharma"</f>
        <v>Sharma</v>
      </c>
      <c r="G1997" t="str">
        <f>"avanddanesh"</f>
        <v>avanddanesh</v>
      </c>
    </row>
    <row r="1998" spans="1:7" x14ac:dyDescent="0.25">
      <c r="A1998" t="str">
        <f>"Biology of Foodborne Parasites"</f>
        <v>Biology of Foodborne Parasites</v>
      </c>
      <c r="B1998" t="str">
        <f>"9781466568839"</f>
        <v>9781466568839</v>
      </c>
      <c r="C1998">
        <v>115.6</v>
      </c>
      <c r="D1998" t="str">
        <f>"GBP"</f>
        <v>GBP</v>
      </c>
      <c r="E1998" t="str">
        <f>"2016"</f>
        <v>2016</v>
      </c>
      <c r="F1998" t="str">
        <f>"Lihua Xiao, Yaoyu F"</f>
        <v>Lihua Xiao, Yaoyu F</v>
      </c>
      <c r="G1998" t="str">
        <f>"AsarBartar"</f>
        <v>AsarBartar</v>
      </c>
    </row>
    <row r="1999" spans="1:7" x14ac:dyDescent="0.25">
      <c r="A1999" t="str">
        <f>"BIOLOGY, BREEDING AND FARMING OF IMPORTANT FOOD FISH, HB"</f>
        <v>BIOLOGY, BREEDING AND FARMING OF IMPORTANT FOOD FISH, HB</v>
      </c>
      <c r="B1999" t="str">
        <f>"9789380428109"</f>
        <v>9789380428109</v>
      </c>
      <c r="C1999">
        <v>19.600000000000001</v>
      </c>
      <c r="D1999" t="str">
        <f t="shared" ref="D1999:D2004" si="132">"USD"</f>
        <v>USD</v>
      </c>
      <c r="E1999" t="str">
        <f>"2011"</f>
        <v>2011</v>
      </c>
      <c r="F1999" t="str">
        <f>"Chakrabarty"</f>
        <v>Chakrabarty</v>
      </c>
      <c r="G1999" t="str">
        <f>"supply"</f>
        <v>supply</v>
      </c>
    </row>
    <row r="2000" spans="1:7" x14ac:dyDescent="0.25">
      <c r="A2000" t="str">
        <f>"Bio-pigmentation and Biotechnological Implementations"</f>
        <v>Bio-pigmentation and Biotechnological Implementations</v>
      </c>
      <c r="B2000" t="str">
        <f>"9781119166146"</f>
        <v>9781119166146</v>
      </c>
      <c r="C2000">
        <v>180</v>
      </c>
      <c r="D2000" t="str">
        <f t="shared" si="132"/>
        <v>USD</v>
      </c>
      <c r="E2000" t="str">
        <f>"2017"</f>
        <v>2017</v>
      </c>
      <c r="F2000" t="str">
        <f>"Singh"</f>
        <v>Singh</v>
      </c>
      <c r="G2000" t="str">
        <f>"avanddanesh"</f>
        <v>avanddanesh</v>
      </c>
    </row>
    <row r="2001" spans="1:7" x14ac:dyDescent="0.25">
      <c r="A2001" t="str">
        <f>"Biopolymers for Food Design, Volume20"</f>
        <v>Biopolymers for Food Design, Volume20</v>
      </c>
      <c r="B2001" t="str">
        <f>"9780128114483"</f>
        <v>9780128114483</v>
      </c>
      <c r="C2001">
        <v>135</v>
      </c>
      <c r="D2001" t="str">
        <f t="shared" si="132"/>
        <v>USD</v>
      </c>
      <c r="E2001" t="str">
        <f>"2018"</f>
        <v>2018</v>
      </c>
      <c r="F2001" t="str">
        <f>"Grumezescu and Holba"</f>
        <v>Grumezescu and Holba</v>
      </c>
      <c r="G2001" t="str">
        <f>"dehkadehketab"</f>
        <v>dehkadehketab</v>
      </c>
    </row>
    <row r="2002" spans="1:7" x14ac:dyDescent="0.25">
      <c r="A2002" t="str">
        <f>"Biotechnology in Flavor Production,2e"</f>
        <v>Biotechnology in Flavor Production,2e</v>
      </c>
      <c r="B2002" t="str">
        <f>"9781118354063"</f>
        <v>9781118354063</v>
      </c>
      <c r="C2002">
        <v>140.30000000000001</v>
      </c>
      <c r="D2002" t="str">
        <f t="shared" si="132"/>
        <v>USD</v>
      </c>
      <c r="E2002" t="str">
        <f>"2016"</f>
        <v>2016</v>
      </c>
      <c r="F2002" t="str">
        <f>"Havkin-Frenkel"</f>
        <v>Havkin-Frenkel</v>
      </c>
      <c r="G2002" t="str">
        <f>"avanddanesh"</f>
        <v>avanddanesh</v>
      </c>
    </row>
    <row r="2003" spans="1:7" x14ac:dyDescent="0.25">
      <c r="A2003" t="str">
        <f>"Biotechnology of Bioactive Compounds: Sources and Applications"</f>
        <v>Biotechnology of Bioactive Compounds: Sources and Applications</v>
      </c>
      <c r="B2003" t="str">
        <f>"9781118733493"</f>
        <v>9781118733493</v>
      </c>
      <c r="C2003">
        <v>184</v>
      </c>
      <c r="D2003" t="str">
        <f t="shared" si="132"/>
        <v>USD</v>
      </c>
      <c r="E2003" t="str">
        <f>"2015"</f>
        <v>2015</v>
      </c>
      <c r="F2003" t="str">
        <f>"Gupta"</f>
        <v>Gupta</v>
      </c>
      <c r="G2003" t="str">
        <f>"avanddanesh"</f>
        <v>avanddanesh</v>
      </c>
    </row>
    <row r="2004" spans="1:7" x14ac:dyDescent="0.25">
      <c r="A2004" t="str">
        <f>"Biotechnology of Lactic Acid Bacteria: Novel Applications,2e"</f>
        <v>Biotechnology of Lactic Acid Bacteria: Novel Applications,2e</v>
      </c>
      <c r="B2004" t="str">
        <f>"9781118868409"</f>
        <v>9781118868409</v>
      </c>
      <c r="C2004">
        <v>132</v>
      </c>
      <c r="D2004" t="str">
        <f t="shared" si="132"/>
        <v>USD</v>
      </c>
      <c r="E2004" t="str">
        <f>"2015"</f>
        <v>2015</v>
      </c>
      <c r="F2004" t="str">
        <f>"Mozzi"</f>
        <v>Mozzi</v>
      </c>
      <c r="G2004" t="str">
        <f>"avanddanesh"</f>
        <v>avanddanesh</v>
      </c>
    </row>
    <row r="2005" spans="1:7" x14ac:dyDescent="0.25">
      <c r="A2005" t="str">
        <f>"Biotechnology of Natural Products"</f>
        <v>Biotechnology of Natural Products</v>
      </c>
      <c r="B2005" t="str">
        <f>"9783319679020"</f>
        <v>9783319679020</v>
      </c>
      <c r="C2005">
        <v>125.99</v>
      </c>
      <c r="D2005" t="str">
        <f>"EUR"</f>
        <v>EUR</v>
      </c>
      <c r="E2005" t="str">
        <f>"2018"</f>
        <v>2018</v>
      </c>
      <c r="F2005" t="str">
        <f>"Schwab"</f>
        <v>Schwab</v>
      </c>
      <c r="G2005" t="str">
        <f>"negarestanabi"</f>
        <v>negarestanabi</v>
      </c>
    </row>
    <row r="2006" spans="1:7" x14ac:dyDescent="0.25">
      <c r="A2006" t="str">
        <f>"Bitterness: Perception, Chemistry and Food Processing"</f>
        <v>Bitterness: Perception, Chemistry and Food Processing</v>
      </c>
      <c r="B2006" t="str">
        <f>"9781118590294"</f>
        <v>9781118590294</v>
      </c>
      <c r="C2006">
        <v>180</v>
      </c>
      <c r="D2006" t="str">
        <f>"USD"</f>
        <v>USD</v>
      </c>
      <c r="E2006" t="str">
        <f>"2017"</f>
        <v>2017</v>
      </c>
      <c r="F2006" t="str">
        <f>"Aliani"</f>
        <v>Aliani</v>
      </c>
      <c r="G2006" t="str">
        <f>"avanddanesh"</f>
        <v>avanddanesh</v>
      </c>
    </row>
    <row r="2007" spans="1:7" x14ac:dyDescent="0.25">
      <c r="A2007" t="str">
        <f>"BRC Global Standard for Food Safety: A Guide to a Successful Audit"</f>
        <v>BRC Global Standard for Food Safety: A Guide to a Successful Audit</v>
      </c>
      <c r="B2007" t="str">
        <f>"9781405157964"</f>
        <v>9781405157964</v>
      </c>
      <c r="C2007">
        <v>48</v>
      </c>
      <c r="D2007" t="str">
        <f>"USD"</f>
        <v>USD</v>
      </c>
      <c r="E2007" t="str">
        <f>"2008"</f>
        <v>2008</v>
      </c>
      <c r="F2007" t="str">
        <f>"Kill"</f>
        <v>Kill</v>
      </c>
      <c r="G2007" t="str">
        <f>"avanddanesh"</f>
        <v>avanddanesh</v>
      </c>
    </row>
    <row r="2008" spans="1:7" x14ac:dyDescent="0.25">
      <c r="A2008" t="str">
        <f>"Bread"</f>
        <v>Bread</v>
      </c>
      <c r="B2008" t="str">
        <f>"9780471168577"</f>
        <v>9780471168577</v>
      </c>
      <c r="C2008">
        <v>58.8</v>
      </c>
      <c r="D2008" t="str">
        <f>"USD"</f>
        <v>USD</v>
      </c>
      <c r="E2008" t="str">
        <f>"2004"</f>
        <v>2004</v>
      </c>
      <c r="F2008" t="str">
        <f>"Hamelman"</f>
        <v>Hamelman</v>
      </c>
      <c r="G2008" t="str">
        <f>"avanddanesh"</f>
        <v>avanddanesh</v>
      </c>
    </row>
    <row r="2009" spans="1:7" x14ac:dyDescent="0.25">
      <c r="A2009" t="str">
        <f>"Brewing Problems Solved"</f>
        <v>Brewing Problems Solved</v>
      </c>
      <c r="B2009" t="str">
        <f>"9781845296117"</f>
        <v>9781845296117</v>
      </c>
      <c r="C2009">
        <v>193.5</v>
      </c>
      <c r="D2009" t="str">
        <f>"USD"</f>
        <v>USD</v>
      </c>
      <c r="E2009" t="str">
        <f>"2017"</f>
        <v>2017</v>
      </c>
      <c r="F2009" t="str">
        <f>"Simpson, W"</f>
        <v>Simpson, W</v>
      </c>
      <c r="G2009" t="str">
        <f>"dehkadehketab"</f>
        <v>dehkadehketab</v>
      </c>
    </row>
    <row r="2010" spans="1:7" x14ac:dyDescent="0.25">
      <c r="A2010" t="str">
        <f>"Brewing Science: A Multidisciplinary Approach"</f>
        <v>Brewing Science: A Multidisciplinary Approach</v>
      </c>
      <c r="B2010" t="str">
        <f>"9783319463933"</f>
        <v>9783319463933</v>
      </c>
      <c r="C2010">
        <v>76.489999999999995</v>
      </c>
      <c r="D2010" t="str">
        <f>"EUR"</f>
        <v>EUR</v>
      </c>
      <c r="E2010" t="str">
        <f>"2017"</f>
        <v>2017</v>
      </c>
      <c r="F2010" t="str">
        <f>"Mosher"</f>
        <v>Mosher</v>
      </c>
      <c r="G2010" t="str">
        <f>"negarestanabi"</f>
        <v>negarestanabi</v>
      </c>
    </row>
    <row r="2011" spans="1:7" x14ac:dyDescent="0.25">
      <c r="A2011" t="str">
        <f>"Brown Rice"</f>
        <v>Brown Rice</v>
      </c>
      <c r="B2011" t="str">
        <f>"9783319590103"</f>
        <v>9783319590103</v>
      </c>
      <c r="C2011">
        <v>125.99</v>
      </c>
      <c r="D2011" t="str">
        <f>"EUR"</f>
        <v>EUR</v>
      </c>
      <c r="E2011" t="str">
        <f>"2017"</f>
        <v>2017</v>
      </c>
      <c r="F2011" t="str">
        <f>"Manickavasagan"</f>
        <v>Manickavasagan</v>
      </c>
      <c r="G2011" t="str">
        <f>"negarestanabi"</f>
        <v>negarestanabi</v>
      </c>
    </row>
    <row r="2012" spans="1:7" x14ac:dyDescent="0.25">
      <c r="A2012" t="str">
        <f>"Butchery and Sausage-Making For Dummies"</f>
        <v>Butchery and Sausage-Making For Dummies</v>
      </c>
      <c r="B2012" t="str">
        <f>"9781118374948"</f>
        <v>9781118374948</v>
      </c>
      <c r="C2012">
        <v>12.3</v>
      </c>
      <c r="D2012" t="str">
        <f t="shared" ref="D2012:D2018" si="133">"USD"</f>
        <v>USD</v>
      </c>
      <c r="E2012" t="str">
        <f>"2013"</f>
        <v>2013</v>
      </c>
      <c r="F2012" t="str">
        <f>"Harrison"</f>
        <v>Harrison</v>
      </c>
      <c r="G2012" t="str">
        <f>"avanddanesh"</f>
        <v>avanddanesh</v>
      </c>
    </row>
    <row r="2013" spans="1:7" x14ac:dyDescent="0.25">
      <c r="A2013" t="str">
        <f>"Cake Decorating For Dummies"</f>
        <v>Cake Decorating For Dummies</v>
      </c>
      <c r="B2013" t="str">
        <f>"9780470099117"</f>
        <v>9780470099117</v>
      </c>
      <c r="C2013">
        <v>8</v>
      </c>
      <c r="D2013" t="str">
        <f t="shared" si="133"/>
        <v>USD</v>
      </c>
      <c r="E2013" t="str">
        <f>"2007"</f>
        <v>2007</v>
      </c>
      <c r="F2013" t="str">
        <f>"LoCicero"</f>
        <v>LoCicero</v>
      </c>
      <c r="G2013" t="str">
        <f>"avanddanesh"</f>
        <v>avanddanesh</v>
      </c>
    </row>
    <row r="2014" spans="1:7" x14ac:dyDescent="0.25">
      <c r="A2014" t="str">
        <f>"Calorimetry in Food Processing: Analysis and Design of Food Systems"</f>
        <v>Calorimetry in Food Processing: Analysis and Design of Food Systems</v>
      </c>
      <c r="B2014" t="str">
        <f>"9780813814834"</f>
        <v>9780813814834</v>
      </c>
      <c r="C2014">
        <v>101.2</v>
      </c>
      <c r="D2014" t="str">
        <f t="shared" si="133"/>
        <v>USD</v>
      </c>
      <c r="E2014" t="str">
        <f>"2009"</f>
        <v>2009</v>
      </c>
      <c r="F2014" t="str">
        <f>"Kaletun"</f>
        <v>Kaletun</v>
      </c>
      <c r="G2014" t="str">
        <f>"avanddanesh"</f>
        <v>avanddanesh</v>
      </c>
    </row>
    <row r="2015" spans="1:7" x14ac:dyDescent="0.25">
      <c r="A2015" t="str">
        <f>"Calorimetry in Food Processing:Analysis and Design of Food Systems"</f>
        <v>Calorimetry in Food Processing:Analysis and Design of Food Systems</v>
      </c>
      <c r="B2015" t="str">
        <f>"9780813814834"</f>
        <v>9780813814834</v>
      </c>
      <c r="C2015">
        <v>101.2</v>
      </c>
      <c r="D2015" t="str">
        <f t="shared" si="133"/>
        <v>USD</v>
      </c>
      <c r="E2015" t="str">
        <f>"2010"</f>
        <v>2010</v>
      </c>
      <c r="F2015" t="str">
        <f>"KaletunÃ§"</f>
        <v>KaletunÃ§</v>
      </c>
      <c r="G2015" t="str">
        <f>"safirketab"</f>
        <v>safirketab</v>
      </c>
    </row>
    <row r="2016" spans="1:7" x14ac:dyDescent="0.25">
      <c r="A2016" t="str">
        <f>"Campylobacter:A practical approach to the organism and its control in foods"</f>
        <v>Campylobacter:A practical approach to the organism and its control in foods</v>
      </c>
      <c r="B2016" t="str">
        <f>"9781405156288"</f>
        <v>9781405156288</v>
      </c>
      <c r="C2016">
        <v>78.739999999999995</v>
      </c>
      <c r="D2016" t="str">
        <f t="shared" si="133"/>
        <v>USD</v>
      </c>
      <c r="E2016" t="str">
        <f>"2009"</f>
        <v>2009</v>
      </c>
      <c r="F2016" t="str">
        <f>"Bell"</f>
        <v>Bell</v>
      </c>
      <c r="G2016" t="str">
        <f>"safirketab"</f>
        <v>safirketab</v>
      </c>
    </row>
    <row r="2017" spans="1:7" x14ac:dyDescent="0.25">
      <c r="A2017" t="str">
        <f>"Cancer Nutrition &amp; Recipes For Dummies"</f>
        <v>Cancer Nutrition &amp; Recipes For Dummies</v>
      </c>
      <c r="B2017" t="str">
        <f>"9781118592052"</f>
        <v>9781118592052</v>
      </c>
      <c r="C2017">
        <v>14.9</v>
      </c>
      <c r="D2017" t="str">
        <f t="shared" si="133"/>
        <v>USD</v>
      </c>
      <c r="E2017" t="str">
        <f>"2013"</f>
        <v>2013</v>
      </c>
      <c r="F2017" t="str">
        <f>"Loguidice"</f>
        <v>Loguidice</v>
      </c>
      <c r="G2017" t="str">
        <f>"avanddanesh"</f>
        <v>avanddanesh</v>
      </c>
    </row>
    <row r="2018" spans="1:7" x14ac:dyDescent="0.25">
      <c r="A2018" t="str">
        <f>"Canned Citrus Processing, Techniques, Equipment, A"</f>
        <v>Canned Citrus Processing, Techniques, Equipment, A</v>
      </c>
      <c r="B2018" t="str">
        <f>"9780128047019"</f>
        <v>9780128047019</v>
      </c>
      <c r="C2018">
        <v>90</v>
      </c>
      <c r="D2018" t="str">
        <f t="shared" si="133"/>
        <v>USD</v>
      </c>
      <c r="E2018" t="str">
        <f>"2015"</f>
        <v>2015</v>
      </c>
      <c r="F2018" t="str">
        <f>"N/A*"</f>
        <v>N/A*</v>
      </c>
      <c r="G2018" t="str">
        <f>"dehkadehketab"</f>
        <v>dehkadehketab</v>
      </c>
    </row>
    <row r="2019" spans="1:7" x14ac:dyDescent="0.25">
      <c r="A2019" t="str">
        <f>"Carbohydrates in Food, Third Edition (Food Science and Technology)"</f>
        <v>Carbohydrates in Food, Third Edition (Food Science and Technology)</v>
      </c>
      <c r="B2019" t="str">
        <f>"9781482245431"</f>
        <v>9781482245431</v>
      </c>
      <c r="C2019">
        <v>108.9</v>
      </c>
      <c r="D2019" t="str">
        <f>"GBP"</f>
        <v>GBP</v>
      </c>
      <c r="E2019" t="str">
        <f>"2017"</f>
        <v>2017</v>
      </c>
      <c r="F2019" t="str">
        <f>"Ann-Charlotte Elias"</f>
        <v>Ann-Charlotte Elias</v>
      </c>
      <c r="G2019" t="str">
        <f>"AsarBartar"</f>
        <v>AsarBartar</v>
      </c>
    </row>
    <row r="2020" spans="1:7" x14ac:dyDescent="0.25">
      <c r="A2020" t="str">
        <f>"Carotenoids: Nutrition, Analysis and Technology"</f>
        <v>Carotenoids: Nutrition, Analysis and Technology</v>
      </c>
      <c r="B2020" t="str">
        <f>"9781118622261"</f>
        <v>9781118622261</v>
      </c>
      <c r="C2020">
        <v>112</v>
      </c>
      <c r="D2020" t="str">
        <f>"USD"</f>
        <v>USD</v>
      </c>
      <c r="E2020" t="str">
        <f>"2015"</f>
        <v>2015</v>
      </c>
      <c r="F2020" t="str">
        <f>"Kaczor"</f>
        <v>Kaczor</v>
      </c>
      <c r="G2020" t="str">
        <f>"avanddanesh"</f>
        <v>avanddanesh</v>
      </c>
    </row>
    <row r="2021" spans="1:7" x14ac:dyDescent="0.25">
      <c r="A2021" t="str">
        <f>"Cellular and Molecular Mechanisms of Honey Wound Healing (Food Science and Technology)"</f>
        <v>Cellular and Molecular Mechanisms of Honey Wound Healing (Food Science and Technology)</v>
      </c>
      <c r="B2021" t="str">
        <f>"9781631172519"</f>
        <v>9781631172519</v>
      </c>
      <c r="C2021">
        <v>56.8</v>
      </c>
      <c r="D2021" t="str">
        <f>"GBP"</f>
        <v>GBP</v>
      </c>
      <c r="E2021" t="str">
        <f>"2014"</f>
        <v>2014</v>
      </c>
      <c r="F2021" t="str">
        <f>"Simona Martinotti(E"</f>
        <v>Simona Martinotti(E</v>
      </c>
      <c r="G2021" t="str">
        <f>"AsarBartar"</f>
        <v>AsarBartar</v>
      </c>
    </row>
    <row r="2022" spans="1:7" x14ac:dyDescent="0.25">
      <c r="A2022" t="str">
        <f>"Cellulose and Cellulose Derivatives in the Food Industry: Fundamentals and Applications"</f>
        <v>Cellulose and Cellulose Derivatives in the Food Industry: Fundamentals and Applications</v>
      </c>
      <c r="B2022" t="str">
        <f>"9783527337583"</f>
        <v>9783527337583</v>
      </c>
      <c r="C2022">
        <v>159</v>
      </c>
      <c r="D2022" t="str">
        <f t="shared" ref="D2022:D2029" si="134">"USD"</f>
        <v>USD</v>
      </c>
      <c r="E2022" t="str">
        <f>"2014"</f>
        <v>2014</v>
      </c>
      <c r="F2022" t="str">
        <f>"Wuestenberg"</f>
        <v>Wuestenberg</v>
      </c>
      <c r="G2022" t="str">
        <f>"avanddanesh"</f>
        <v>avanddanesh</v>
      </c>
    </row>
    <row r="2023" spans="1:7" x14ac:dyDescent="0.25">
      <c r="A2023" t="s">
        <v>9</v>
      </c>
      <c r="B2023" t="str">
        <f>"9788177541267"</f>
        <v>9788177541267</v>
      </c>
      <c r="C2023">
        <v>3.85</v>
      </c>
      <c r="D2023" t="str">
        <f t="shared" si="134"/>
        <v>USD</v>
      </c>
      <c r="E2023" t="str">
        <f>"2013"</f>
        <v>2013</v>
      </c>
      <c r="F2023" t="str">
        <f>"Cheke"</f>
        <v>Cheke</v>
      </c>
      <c r="G2023" t="str">
        <f>"supply"</f>
        <v>supply</v>
      </c>
    </row>
    <row r="2024" spans="1:7" x14ac:dyDescent="0.25">
      <c r="A2024" t="str">
        <f>"Cheese, Chemistry, Physics and Microbiology, 4th Edition"</f>
        <v>Cheese, Chemistry, Physics and Microbiology, 4th Edition</v>
      </c>
      <c r="B2024" t="str">
        <f>"9780124165588"</f>
        <v>9780124165588</v>
      </c>
      <c r="C2024">
        <v>427.5</v>
      </c>
      <c r="D2024" t="str">
        <f t="shared" si="134"/>
        <v>USD</v>
      </c>
      <c r="E2024" t="str">
        <f>"2017"</f>
        <v>2017</v>
      </c>
      <c r="F2024" t="str">
        <f>"McSweeney et al"</f>
        <v>McSweeney et al</v>
      </c>
      <c r="G2024" t="str">
        <f>"dehkadehketab"</f>
        <v>dehkadehketab</v>
      </c>
    </row>
    <row r="2025" spans="1:7" x14ac:dyDescent="0.25">
      <c r="A2025" t="str">
        <f>"Chemesthesis: Chemical Touch in Food and Eating"</f>
        <v>Chemesthesis: Chemical Touch in Food and Eating</v>
      </c>
      <c r="B2025" t="str">
        <f>"9781118951736"</f>
        <v>9781118951736</v>
      </c>
      <c r="C2025">
        <v>140.30000000000001</v>
      </c>
      <c r="D2025" t="str">
        <f t="shared" si="134"/>
        <v>USD</v>
      </c>
      <c r="E2025" t="str">
        <f>"2016"</f>
        <v>2016</v>
      </c>
      <c r="F2025" t="str">
        <f>"McDonald"</f>
        <v>McDonald</v>
      </c>
      <c r="G2025" t="str">
        <f>"avanddanesh"</f>
        <v>avanddanesh</v>
      </c>
    </row>
    <row r="2026" spans="1:7" x14ac:dyDescent="0.25">
      <c r="A2026" t="str">
        <f>"Chemical Analysis of Non-antimicrobial Veterinary Drug Residues in Food"</f>
        <v>Chemical Analysis of Non-antimicrobial Veterinary Drug Residues in Food</v>
      </c>
      <c r="B2026" t="str">
        <f>"9781118695074"</f>
        <v>9781118695074</v>
      </c>
      <c r="C2026">
        <v>165.8</v>
      </c>
      <c r="D2026" t="str">
        <f t="shared" si="134"/>
        <v>USD</v>
      </c>
      <c r="E2026" t="str">
        <f>"2016"</f>
        <v>2016</v>
      </c>
      <c r="F2026" t="str">
        <f>"Kay"</f>
        <v>Kay</v>
      </c>
      <c r="G2026" t="str">
        <f>"avanddanesh"</f>
        <v>avanddanesh</v>
      </c>
    </row>
    <row r="2027" spans="1:7" x14ac:dyDescent="0.25">
      <c r="A2027" t="str">
        <f>"Chemical Contaminants and Residues in Food"</f>
        <v>Chemical Contaminants and Residues in Food</v>
      </c>
      <c r="B2027" t="str">
        <f>"9780081016084"</f>
        <v>9780081016084</v>
      </c>
      <c r="C2027">
        <v>261</v>
      </c>
      <c r="D2027" t="str">
        <f t="shared" si="134"/>
        <v>USD</v>
      </c>
      <c r="E2027" t="str">
        <f>"2017"</f>
        <v>2017</v>
      </c>
      <c r="F2027" t="str">
        <f>"Schrenk"</f>
        <v>Schrenk</v>
      </c>
      <c r="G2027" t="str">
        <f>"dehkadehketab"</f>
        <v>dehkadehketab</v>
      </c>
    </row>
    <row r="2028" spans="1:7" x14ac:dyDescent="0.25">
      <c r="A2028" t="str">
        <f>"Chemistry and Technology of Soft Drinks and Fruit Juices,3e"</f>
        <v>Chemistry and Technology of Soft Drinks and Fruit Juices,3e</v>
      </c>
      <c r="B2028" t="str">
        <f>"9781444333817"</f>
        <v>9781444333817</v>
      </c>
      <c r="C2028">
        <v>140.30000000000001</v>
      </c>
      <c r="D2028" t="str">
        <f t="shared" si="134"/>
        <v>USD</v>
      </c>
      <c r="E2028" t="str">
        <f>"2016"</f>
        <v>2016</v>
      </c>
      <c r="F2028" t="str">
        <f>"Ashurst"</f>
        <v>Ashurst</v>
      </c>
      <c r="G2028" t="str">
        <f>"avanddanesh"</f>
        <v>avanddanesh</v>
      </c>
    </row>
    <row r="2029" spans="1:7" x14ac:dyDescent="0.25">
      <c r="A2029" t="str">
        <f>"Chemistry of Food"</f>
        <v>Chemistry of Food</v>
      </c>
      <c r="B2029" t="str">
        <f>"9781118383810"</f>
        <v>9781118383810</v>
      </c>
      <c r="C2029">
        <v>63.8</v>
      </c>
      <c r="D2029" t="str">
        <f t="shared" si="134"/>
        <v>USD</v>
      </c>
      <c r="E2029" t="str">
        <f>"2014"</f>
        <v>2014</v>
      </c>
      <c r="F2029" t="str">
        <f>"Velisek"</f>
        <v>Velisek</v>
      </c>
      <c r="G2029" t="str">
        <f>"avanddanesh"</f>
        <v>avanddanesh</v>
      </c>
    </row>
    <row r="2030" spans="1:7" x14ac:dyDescent="0.25">
      <c r="A2030" t="str">
        <f>"Chemistry, Process Design, and Safety for the Nitration Industry (Acs Symposium Series)"</f>
        <v>Chemistry, Process Design, and Safety for the Nitration Industry (Acs Symposium Series)</v>
      </c>
      <c r="B2030" t="str">
        <f>"9780841228863"</f>
        <v>9780841228863</v>
      </c>
      <c r="C2030">
        <v>57.5</v>
      </c>
      <c r="D2030" t="str">
        <f>"GBP"</f>
        <v>GBP</v>
      </c>
      <c r="E2030" t="str">
        <f>"2014"</f>
        <v>2014</v>
      </c>
      <c r="F2030" t="str">
        <f>"Thomas L. Guggenheim"</f>
        <v>Thomas L. Guggenheim</v>
      </c>
      <c r="G2030" t="str">
        <f>"arzinbooks"</f>
        <v>arzinbooks</v>
      </c>
    </row>
    <row r="2031" spans="1:7" x14ac:dyDescent="0.25">
      <c r="A2031" t="str">
        <f>"Chocolate and Health : Chemistry, Nutrition and Therapy"</f>
        <v>Chocolate and Health : Chemistry, Nutrition and Therapy</v>
      </c>
      <c r="B2031" t="str">
        <f>"9781849739122"</f>
        <v>9781849739122</v>
      </c>
      <c r="C2031">
        <v>33</v>
      </c>
      <c r="D2031" t="str">
        <f>"GBP"</f>
        <v>GBP</v>
      </c>
      <c r="E2031" t="str">
        <f>"2015"</f>
        <v>2015</v>
      </c>
      <c r="F2031" t="str">
        <f>"Wilson, Hurst"</f>
        <v>Wilson, Hurst</v>
      </c>
      <c r="G2031" t="str">
        <f>"arzinbooks"</f>
        <v>arzinbooks</v>
      </c>
    </row>
    <row r="2032" spans="1:7" x14ac:dyDescent="0.25">
      <c r="A2032" t="str">
        <f>"Chocolate Chocolate"</f>
        <v>Chocolate Chocolate</v>
      </c>
      <c r="B2032" t="str">
        <f>"9780471428077"</f>
        <v>9780471428077</v>
      </c>
      <c r="C2032">
        <v>18</v>
      </c>
      <c r="D2032" t="str">
        <f t="shared" ref="D2032:D2037" si="135">"USD"</f>
        <v>USD</v>
      </c>
      <c r="E2032" t="str">
        <f>"2005"</f>
        <v>2005</v>
      </c>
      <c r="F2032" t="str">
        <f>"Yockelson"</f>
        <v>Yockelson</v>
      </c>
      <c r="G2032" t="str">
        <f>"avanddanesh"</f>
        <v>avanddanesh</v>
      </c>
    </row>
    <row r="2033" spans="1:7" x14ac:dyDescent="0.25">
      <c r="A2033" t="str">
        <f>"Chocolate Science and Technology"</f>
        <v>Chocolate Science and Technology</v>
      </c>
      <c r="B2033" t="str">
        <f>"9781405199063"</f>
        <v>9781405199063</v>
      </c>
      <c r="C2033">
        <v>151.19999999999999</v>
      </c>
      <c r="D2033" t="str">
        <f t="shared" si="135"/>
        <v>USD</v>
      </c>
      <c r="E2033" t="str">
        <f>"2010"</f>
        <v>2010</v>
      </c>
      <c r="F2033" t="str">
        <f>"Afoakwa"</f>
        <v>Afoakwa</v>
      </c>
      <c r="G2033" t="str">
        <f>"safirketab"</f>
        <v>safirketab</v>
      </c>
    </row>
    <row r="2034" spans="1:7" x14ac:dyDescent="0.25">
      <c r="A2034" t="str">
        <f>"Chocolate Science and Technology,2e"</f>
        <v>Chocolate Science and Technology,2e</v>
      </c>
      <c r="B2034" t="str">
        <f>"9781118913789"</f>
        <v>9781118913789</v>
      </c>
      <c r="C2034">
        <v>140.30000000000001</v>
      </c>
      <c r="D2034" t="str">
        <f t="shared" si="135"/>
        <v>USD</v>
      </c>
      <c r="E2034" t="str">
        <f>"2016"</f>
        <v>2016</v>
      </c>
      <c r="F2034" t="str">
        <f>"Afoakwa"</f>
        <v>Afoakwa</v>
      </c>
      <c r="G2034" t="str">
        <f>"avanddanesh"</f>
        <v>avanddanesh</v>
      </c>
    </row>
    <row r="2035" spans="1:7" x14ac:dyDescent="0.25">
      <c r="A2035" t="str">
        <f>"Chocolate Therapist: A User's Guide to the Extraordinary Health Benefits of Chocolate"</f>
        <v>Chocolate Therapist: A User's Guide to the Extraordinary Health Benefits of Chocolate</v>
      </c>
      <c r="B2035" t="str">
        <f>"9780470613511"</f>
        <v>9780470613511</v>
      </c>
      <c r="C2035">
        <v>6</v>
      </c>
      <c r="D2035" t="str">
        <f t="shared" si="135"/>
        <v>USD</v>
      </c>
      <c r="E2035" t="str">
        <f>"2010"</f>
        <v>2010</v>
      </c>
      <c r="F2035" t="str">
        <f>"Pech"</f>
        <v>Pech</v>
      </c>
      <c r="G2035" t="str">
        <f>"avanddanesh"</f>
        <v>avanddanesh</v>
      </c>
    </row>
    <row r="2036" spans="1:7" x14ac:dyDescent="0.25">
      <c r="A2036" t="str">
        <f>"Chocolates and Confections: Formula, Theory, and Technique for the Artisan Confectioner"</f>
        <v>Chocolates and Confections: Formula, Theory, and Technique for the Artisan Confectioner</v>
      </c>
      <c r="B2036" t="str">
        <f>"9780764588440"</f>
        <v>9780764588440</v>
      </c>
      <c r="C2036">
        <v>101.2</v>
      </c>
      <c r="D2036" t="str">
        <f t="shared" si="135"/>
        <v>USD</v>
      </c>
      <c r="E2036" t="str">
        <f>"2007"</f>
        <v>2007</v>
      </c>
      <c r="F2036" t="str">
        <f>"Greweling"</f>
        <v>Greweling</v>
      </c>
      <c r="G2036" t="str">
        <f>"avanddanesh"</f>
        <v>avanddanesh</v>
      </c>
    </row>
    <row r="2037" spans="1:7" x14ac:dyDescent="0.25">
      <c r="A2037" t="str">
        <f>"Christmas Cooking For Dummies"</f>
        <v>Christmas Cooking For Dummies</v>
      </c>
      <c r="B2037" t="str">
        <f>"9780764554070"</f>
        <v>9780764554070</v>
      </c>
      <c r="C2037">
        <v>8.8000000000000007</v>
      </c>
      <c r="D2037" t="str">
        <f t="shared" si="135"/>
        <v>USD</v>
      </c>
      <c r="E2037" t="str">
        <f>"2001"</f>
        <v>2001</v>
      </c>
      <c r="F2037" t="str">
        <f>"Wilson"</f>
        <v>Wilson</v>
      </c>
      <c r="G2037" t="str">
        <f>"avanddanesh"</f>
        <v>avanddanesh</v>
      </c>
    </row>
    <row r="2038" spans="1:7" x14ac:dyDescent="0.25">
      <c r="A2038" t="str">
        <f>"Clinical Guide to Popular Diets"</f>
        <v>Clinical Guide to Popular Diets</v>
      </c>
      <c r="B2038" t="str">
        <f>"9781498774307"</f>
        <v>9781498774307</v>
      </c>
      <c r="C2038">
        <v>48.59</v>
      </c>
      <c r="D2038" t="str">
        <f>"GBP"</f>
        <v>GBP</v>
      </c>
      <c r="E2038" t="str">
        <f>"2018"</f>
        <v>2018</v>
      </c>
      <c r="F2038" t="str">
        <f>"Apovian"</f>
        <v>Apovian</v>
      </c>
      <c r="G2038" t="str">
        <f>"sal"</f>
        <v>sal</v>
      </c>
    </row>
    <row r="2039" spans="1:7" x14ac:dyDescent="0.25">
      <c r="A2039" t="str">
        <f>"CLINICAL MANAGEMENT OF INTESTINAL F"</f>
        <v>CLINICAL MANAGEMENT OF INTESTINAL F</v>
      </c>
      <c r="B2039" t="str">
        <f>"9781439813904"</f>
        <v>9781439813904</v>
      </c>
      <c r="C2039">
        <v>65.400000000000006</v>
      </c>
      <c r="D2039" t="str">
        <f>"GBP"</f>
        <v>GBP</v>
      </c>
      <c r="E2039" t="str">
        <f>"2012"</f>
        <v>2012</v>
      </c>
      <c r="F2039" t="str">
        <f>"TOM JAKSIC(EDITOR)"</f>
        <v>TOM JAKSIC(EDITOR)</v>
      </c>
      <c r="G2039" t="str">
        <f>"AsarBartar"</f>
        <v>AsarBartar</v>
      </c>
    </row>
    <row r="2040" spans="1:7" x14ac:dyDescent="0.25">
      <c r="A2040" t="str">
        <f>"Coffee: Emerging Health Effects and Disease Prevention"</f>
        <v>Coffee: Emerging Health Effects and Disease Prevention</v>
      </c>
      <c r="B2040" t="str">
        <f>"9780470958780"</f>
        <v>9780470958780</v>
      </c>
      <c r="C2040">
        <v>138.6</v>
      </c>
      <c r="D2040" t="str">
        <f t="shared" ref="D2040:D2045" si="136">"USD"</f>
        <v>USD</v>
      </c>
      <c r="E2040" t="str">
        <f>"2012"</f>
        <v>2012</v>
      </c>
      <c r="F2040" t="str">
        <f>"Chu"</f>
        <v>Chu</v>
      </c>
      <c r="G2040" t="str">
        <f>"avanddanesh"</f>
        <v>avanddanesh</v>
      </c>
    </row>
    <row r="2041" spans="1:7" x14ac:dyDescent="0.25">
      <c r="A2041" t="str">
        <f>"Coffee-Growing, Processing, Sustainable Production-A Guidebook for Growers, Processors, Traders, and Researchers"</f>
        <v>Coffee-Growing, Processing, Sustainable Production-A Guidebook for Growers, Processors, Traders, and Researchers</v>
      </c>
      <c r="B2041" t="str">
        <f>"9783527322862"</f>
        <v>9783527322862</v>
      </c>
      <c r="C2041">
        <v>303.75</v>
      </c>
      <c r="D2041" t="str">
        <f t="shared" si="136"/>
        <v>USD</v>
      </c>
      <c r="E2041" t="str">
        <f>"2009"</f>
        <v>2009</v>
      </c>
      <c r="F2041" t="str">
        <f>"Wintgens"</f>
        <v>Wintgens</v>
      </c>
      <c r="G2041" t="str">
        <f>"safirketab"</f>
        <v>safirketab</v>
      </c>
    </row>
    <row r="2042" spans="1:7" x14ac:dyDescent="0.25">
      <c r="A2042" t="str">
        <f>"Comfort Food Fix: Feel-Good Favorites Made Healthy"</f>
        <v>Comfort Food Fix: Feel-Good Favorites Made Healthy</v>
      </c>
      <c r="B2042" t="str">
        <f>"9780470603093"</f>
        <v>9780470603093</v>
      </c>
      <c r="C2042">
        <v>12</v>
      </c>
      <c r="D2042" t="str">
        <f t="shared" si="136"/>
        <v>USD</v>
      </c>
      <c r="E2042" t="str">
        <f>"2011"</f>
        <v>2011</v>
      </c>
      <c r="F2042" t="str">
        <f>"Krieger"</f>
        <v>Krieger</v>
      </c>
      <c r="G2042" t="str">
        <f>"avanddanesh"</f>
        <v>avanddanesh</v>
      </c>
    </row>
    <row r="2043" spans="1:7" x14ac:dyDescent="0.25">
      <c r="A2043" t="str">
        <f>"Concept Research in Food Product Design and Development"</f>
        <v>Concept Research in Food Product Design and Development</v>
      </c>
      <c r="B2043" t="str">
        <f>"9780813824246"</f>
        <v>9780813824246</v>
      </c>
      <c r="C2043">
        <v>137.99</v>
      </c>
      <c r="D2043" t="str">
        <f t="shared" si="136"/>
        <v>USD</v>
      </c>
      <c r="E2043" t="str">
        <f>"2005"</f>
        <v>2005</v>
      </c>
      <c r="F2043" t="str">
        <f>"Moskowitz"</f>
        <v>Moskowitz</v>
      </c>
      <c r="G2043" t="str">
        <f>"safirketab"</f>
        <v>safirketab</v>
      </c>
    </row>
    <row r="2044" spans="1:7" x14ac:dyDescent="0.25">
      <c r="A2044" t="str">
        <f>"Confectionery and Chocolate Engineering: Principles and Applications"</f>
        <v>Confectionery and Chocolate Engineering: Principles and Applications</v>
      </c>
      <c r="B2044" t="str">
        <f>"9781405194709"</f>
        <v>9781405194709</v>
      </c>
      <c r="C2044">
        <v>189</v>
      </c>
      <c r="D2044" t="str">
        <f t="shared" si="136"/>
        <v>USD</v>
      </c>
      <c r="E2044" t="str">
        <f>"2010"</f>
        <v>2010</v>
      </c>
      <c r="F2044" t="str">
        <f>"Mohos"</f>
        <v>Mohos</v>
      </c>
      <c r="G2044" t="str">
        <f>"safirketab"</f>
        <v>safirketab</v>
      </c>
    </row>
    <row r="2045" spans="1:7" x14ac:dyDescent="0.25">
      <c r="A2045" t="str">
        <f>"Confectionery and Chocolate Engineering: Principles and Applications,2e"</f>
        <v>Confectionery and Chocolate Engineering: Principles and Applications,2e</v>
      </c>
      <c r="B2045" t="str">
        <f>"9781118939772"</f>
        <v>9781118939772</v>
      </c>
      <c r="C2045">
        <v>193.5</v>
      </c>
      <c r="D2045" t="str">
        <f t="shared" si="136"/>
        <v>USD</v>
      </c>
      <c r="E2045" t="str">
        <f>"2017"</f>
        <v>2017</v>
      </c>
      <c r="F2045" t="str">
        <f>"Mohos"</f>
        <v>Mohos</v>
      </c>
      <c r="G2045" t="str">
        <f>"avanddanesh"</f>
        <v>avanddanesh</v>
      </c>
    </row>
    <row r="2046" spans="1:7" x14ac:dyDescent="0.25">
      <c r="A2046" t="str">
        <f>"Confectionery Science and Technology"</f>
        <v>Confectionery Science and Technology</v>
      </c>
      <c r="B2046" t="str">
        <f>"9783319617404"</f>
        <v>9783319617404</v>
      </c>
      <c r="C2046">
        <v>89.99</v>
      </c>
      <c r="D2046" t="str">
        <f>"EUR"</f>
        <v>EUR</v>
      </c>
      <c r="E2046" t="str">
        <f>"2018"</f>
        <v>2018</v>
      </c>
      <c r="F2046" t="str">
        <f>"Hartel"</f>
        <v>Hartel</v>
      </c>
      <c r="G2046" t="str">
        <f>"negarestanabi"</f>
        <v>negarestanabi</v>
      </c>
    </row>
    <row r="2047" spans="1:7" x14ac:dyDescent="0.25">
      <c r="A2047" t="str">
        <f>"Consumer and Sensory Evaluation Techniques: How to Sense Successful Products"</f>
        <v>Consumer and Sensory Evaluation Techniques: How to Sense Successful Products</v>
      </c>
      <c r="B2047" t="str">
        <f>"9781119405542"</f>
        <v>9781119405542</v>
      </c>
      <c r="C2047">
        <v>94.5</v>
      </c>
      <c r="D2047" t="str">
        <f>"USD"</f>
        <v>USD</v>
      </c>
      <c r="E2047" t="str">
        <f>"2018"</f>
        <v>2018</v>
      </c>
      <c r="F2047" t="str">
        <f>"Saint-Denis"</f>
        <v>Saint-Denis</v>
      </c>
      <c r="G2047" t="str">
        <f>"avanddanesh"</f>
        <v>avanddanesh</v>
      </c>
    </row>
    <row r="2048" spans="1:7" x14ac:dyDescent="0.25">
      <c r="A2048" t="str">
        <f>"CONSUMER DRIVEN CEREAL INNOVATION : Where Science Meets Industry, PB"</f>
        <v>CONSUMER DRIVEN CEREAL INNOVATION : Where Science Meets Industry, PB</v>
      </c>
      <c r="B2048" t="str">
        <f>"9781891127618"</f>
        <v>9781891127618</v>
      </c>
      <c r="C2048">
        <v>48.3</v>
      </c>
      <c r="D2048" t="str">
        <f>"USD"</f>
        <v>USD</v>
      </c>
      <c r="E2048" t="str">
        <f>"2009"</f>
        <v>2009</v>
      </c>
      <c r="F2048" t="str">
        <f>"Weegels"</f>
        <v>Weegels</v>
      </c>
      <c r="G2048" t="str">
        <f>"supply"</f>
        <v>supply</v>
      </c>
    </row>
    <row r="2049" spans="1:7" x14ac:dyDescent="0.25">
      <c r="A2049" t="str">
        <f>"Consumer trends and new product opportunities in the food sector"</f>
        <v>Consumer trends and new product opportunities in the food sector</v>
      </c>
      <c r="B2049" t="str">
        <f>"9789086863075"</f>
        <v>9789086863075</v>
      </c>
      <c r="C2049">
        <v>53.1</v>
      </c>
      <c r="D2049" t="str">
        <f>"EUR"</f>
        <v>EUR</v>
      </c>
      <c r="E2049" t="str">
        <f>"2017"</f>
        <v>2017</v>
      </c>
      <c r="F2049" t="str">
        <f>"Klaus Grunert(Edito"</f>
        <v>Klaus Grunert(Edito</v>
      </c>
      <c r="G2049" t="str">
        <f>"AsarBartar"</f>
        <v>AsarBartar</v>
      </c>
    </row>
    <row r="2050" spans="1:7" x14ac:dyDescent="0.25">
      <c r="A2050" t="str">
        <f>"Conventional and Advanced Food Processing Technologies"</f>
        <v>Conventional and Advanced Food Processing Technologies</v>
      </c>
      <c r="B2050" t="str">
        <f>"9781118406328"</f>
        <v>9781118406328</v>
      </c>
      <c r="C2050">
        <v>146.30000000000001</v>
      </c>
      <c r="D2050" t="str">
        <f>"USD"</f>
        <v>USD</v>
      </c>
      <c r="E2050" t="str">
        <f>"2014"</f>
        <v>2014</v>
      </c>
      <c r="F2050" t="str">
        <f>"Bhattacharya"</f>
        <v>Bhattacharya</v>
      </c>
      <c r="G2050" t="str">
        <f>"avanddanesh"</f>
        <v>avanddanesh</v>
      </c>
    </row>
    <row r="2051" spans="1:7" x14ac:dyDescent="0.25">
      <c r="A2051" t="str">
        <f>"Cooking For Crowds For Dummies"</f>
        <v>Cooking For Crowds For Dummies</v>
      </c>
      <c r="B2051" t="str">
        <f>"9780764584695"</f>
        <v>9780764584695</v>
      </c>
      <c r="C2051">
        <v>8</v>
      </c>
      <c r="D2051" t="str">
        <f>"USD"</f>
        <v>USD</v>
      </c>
      <c r="E2051" t="str">
        <f>"2005"</f>
        <v>2005</v>
      </c>
      <c r="F2051" t="str">
        <f>"Simmons"</f>
        <v>Simmons</v>
      </c>
      <c r="G2051" t="str">
        <f>"avanddanesh"</f>
        <v>avanddanesh</v>
      </c>
    </row>
    <row r="2052" spans="1:7" x14ac:dyDescent="0.25">
      <c r="A2052" t="str">
        <f>"Cooking With Chia For Dummies"</f>
        <v>Cooking With Chia For Dummies</v>
      </c>
      <c r="B2052" t="str">
        <f>"9781118867068"</f>
        <v>9781118867068</v>
      </c>
      <c r="C2052">
        <v>15</v>
      </c>
      <c r="D2052" t="str">
        <f>"USD"</f>
        <v>USD</v>
      </c>
      <c r="E2052" t="str">
        <f>"2014"</f>
        <v>2014</v>
      </c>
      <c r="F2052" t="str">
        <f>"Rogers"</f>
        <v>Rogers</v>
      </c>
      <c r="G2052" t="str">
        <f>"avanddanesh"</f>
        <v>avanddanesh</v>
      </c>
    </row>
    <row r="2053" spans="1:7" x14ac:dyDescent="0.25">
      <c r="A2053" t="str">
        <f>"Cooking with Quinoa For Dummies"</f>
        <v>Cooking with Quinoa For Dummies</v>
      </c>
      <c r="B2053" t="str">
        <f>"9781118447802"</f>
        <v>9781118447802</v>
      </c>
      <c r="C2053">
        <v>12.3</v>
      </c>
      <c r="D2053" t="str">
        <f>"USD"</f>
        <v>USD</v>
      </c>
      <c r="E2053" t="str">
        <f>"2013"</f>
        <v>2013</v>
      </c>
      <c r="F2053" t="str">
        <f>"Forberg"</f>
        <v>Forberg</v>
      </c>
      <c r="G2053" t="str">
        <f>"avanddanesh"</f>
        <v>avanddanesh</v>
      </c>
    </row>
    <row r="2054" spans="1:7" x14ac:dyDescent="0.25">
      <c r="A2054" t="str">
        <f>"Dairy Engineering: Advanced Technologies and Their Applications (Innovations in Agricultural &amp; Biological Engineering)"</f>
        <v>Dairy Engineering: Advanced Technologies and Their Applications (Innovations in Agricultural &amp; Biological Engineering)</v>
      </c>
      <c r="B2054" t="str">
        <f>"9781771883801"</f>
        <v>9781771883801</v>
      </c>
      <c r="C2054">
        <v>91.8</v>
      </c>
      <c r="D2054" t="str">
        <f>"GBP"</f>
        <v>GBP</v>
      </c>
      <c r="E2054" t="str">
        <f>"2016"</f>
        <v>2016</v>
      </c>
      <c r="F2054" t="str">
        <f>"Murlidhar Meghwal(E"</f>
        <v>Murlidhar Meghwal(E</v>
      </c>
      <c r="G2054" t="str">
        <f>"AsarBartar"</f>
        <v>AsarBartar</v>
      </c>
    </row>
    <row r="2055" spans="1:7" x14ac:dyDescent="0.25">
      <c r="A2055" t="str">
        <f>"DAIRY FARMING FOR MILK PRODUCTION TECHNOLOGY, PB"</f>
        <v>DAIRY FARMING FOR MILK PRODUCTION TECHNOLOGY, PB</v>
      </c>
      <c r="B2055" t="str">
        <f>"9789380772097"</f>
        <v>9789380772097</v>
      </c>
      <c r="C2055">
        <v>21.35</v>
      </c>
      <c r="D2055" t="str">
        <f t="shared" ref="D2055:D2063" si="137">"USD"</f>
        <v>USD</v>
      </c>
      <c r="E2055" t="str">
        <f>"2011"</f>
        <v>2011</v>
      </c>
      <c r="F2055" t="str">
        <f>"Eiri Board"</f>
        <v>Eiri Board</v>
      </c>
      <c r="G2055" t="str">
        <f>"supply"</f>
        <v>supply</v>
      </c>
    </row>
    <row r="2056" spans="1:7" x14ac:dyDescent="0.25">
      <c r="A2056" t="str">
        <f>"Dairy Fats and Related Products"</f>
        <v>Dairy Fats and Related Products</v>
      </c>
      <c r="B2056" t="str">
        <f>"9781405150903"</f>
        <v>9781405150903</v>
      </c>
      <c r="C2056">
        <v>163.80000000000001</v>
      </c>
      <c r="D2056" t="str">
        <f t="shared" si="137"/>
        <v>USD</v>
      </c>
      <c r="E2056" t="str">
        <f>"2009"</f>
        <v>2009</v>
      </c>
      <c r="F2056" t="str">
        <f>"Tamime"</f>
        <v>Tamime</v>
      </c>
      <c r="G2056" t="str">
        <f>"safirketab"</f>
        <v>safirketab</v>
      </c>
    </row>
    <row r="2057" spans="1:7" x14ac:dyDescent="0.25">
      <c r="A2057" t="str">
        <f>"Dairy Powders and Concentrated Products"</f>
        <v>Dairy Powders and Concentrated Products</v>
      </c>
      <c r="B2057" t="str">
        <f>"9781405157643"</f>
        <v>9781405157643</v>
      </c>
      <c r="C2057">
        <v>163.79</v>
      </c>
      <c r="D2057" t="str">
        <f t="shared" si="137"/>
        <v>USD</v>
      </c>
      <c r="E2057" t="str">
        <f>"2009"</f>
        <v>2009</v>
      </c>
      <c r="F2057" t="str">
        <f>"Tamime"</f>
        <v>Tamime</v>
      </c>
      <c r="G2057" t="str">
        <f>"safirketab"</f>
        <v>safirketab</v>
      </c>
    </row>
    <row r="2058" spans="1:7" x14ac:dyDescent="0.25">
      <c r="A2058" t="str">
        <f>"Dairy Processing and Quality Assurance"</f>
        <v>Dairy Processing and Quality Assurance</v>
      </c>
      <c r="B2058" t="str">
        <f>"9780813827568"</f>
        <v>9780813827568</v>
      </c>
      <c r="C2058">
        <v>137.99</v>
      </c>
      <c r="D2058" t="str">
        <f t="shared" si="137"/>
        <v>USD</v>
      </c>
      <c r="E2058" t="str">
        <f>"2008"</f>
        <v>2008</v>
      </c>
      <c r="F2058" t="str">
        <f>"Chandan"</f>
        <v>Chandan</v>
      </c>
      <c r="G2058" t="str">
        <f>"safirketab"</f>
        <v>safirketab</v>
      </c>
    </row>
    <row r="2059" spans="1:7" x14ac:dyDescent="0.25">
      <c r="A2059" t="str">
        <f>"Dairy Processing and Quality Assurance,2e"</f>
        <v>Dairy Processing and Quality Assurance,2e</v>
      </c>
      <c r="B2059" t="str">
        <f>"9781118810316"</f>
        <v>9781118810316</v>
      </c>
      <c r="C2059">
        <v>160</v>
      </c>
      <c r="D2059" t="str">
        <f t="shared" si="137"/>
        <v>USD</v>
      </c>
      <c r="E2059" t="str">
        <f>"2015"</f>
        <v>2015</v>
      </c>
      <c r="F2059" t="str">
        <f>"Chandan"</f>
        <v>Chandan</v>
      </c>
      <c r="G2059" t="str">
        <f>"avanddanesh"</f>
        <v>avanddanesh</v>
      </c>
    </row>
    <row r="2060" spans="1:7" x14ac:dyDescent="0.25">
      <c r="A2060" t="str">
        <f>"Dairy Technology, HB"</f>
        <v>Dairy Technology, HB</v>
      </c>
      <c r="B2060" t="str">
        <f>"9781926686738"</f>
        <v>9781926686738</v>
      </c>
      <c r="C2060">
        <v>91</v>
      </c>
      <c r="D2060" t="str">
        <f t="shared" si="137"/>
        <v>USD</v>
      </c>
      <c r="E2060" t="str">
        <f>"2010"</f>
        <v>2010</v>
      </c>
      <c r="F2060" t="str">
        <f>"Takeshi"</f>
        <v>Takeshi</v>
      </c>
      <c r="G2060" t="str">
        <f>"supply"</f>
        <v>supply</v>
      </c>
    </row>
    <row r="2061" spans="1:7" x14ac:dyDescent="0.25">
      <c r="A2061" t="str">
        <f>"Decontamination of Fresh and Minimally Processed Produce"</f>
        <v>Decontamination of Fresh and Minimally Processed Produce</v>
      </c>
      <c r="B2061" t="str">
        <f>"9780813823843"</f>
        <v>9780813823843</v>
      </c>
      <c r="C2061">
        <v>138.6</v>
      </c>
      <c r="D2061" t="str">
        <f t="shared" si="137"/>
        <v>USD</v>
      </c>
      <c r="E2061" t="str">
        <f>"2012"</f>
        <v>2012</v>
      </c>
      <c r="F2061" t="str">
        <f>"Gomez-Lopez"</f>
        <v>Gomez-Lopez</v>
      </c>
      <c r="G2061" t="str">
        <f>"avanddanesh"</f>
        <v>avanddanesh</v>
      </c>
    </row>
    <row r="2062" spans="1:7" x14ac:dyDescent="0.25">
      <c r="A2062" t="str">
        <f>"Dense Phase Carbon Dioxide: Food and Pharmaceutical Applications"</f>
        <v>Dense Phase Carbon Dioxide: Food and Pharmaceutical Applications</v>
      </c>
      <c r="B2062" t="str">
        <f>"9780813806495"</f>
        <v>9780813806495</v>
      </c>
      <c r="C2062">
        <v>132</v>
      </c>
      <c r="D2062" t="str">
        <f t="shared" si="137"/>
        <v>USD</v>
      </c>
      <c r="E2062" t="str">
        <f>"2012"</f>
        <v>2012</v>
      </c>
      <c r="F2062" t="str">
        <f>"Balaban"</f>
        <v>Balaban</v>
      </c>
      <c r="G2062" t="str">
        <f>"avanddanesh"</f>
        <v>avanddanesh</v>
      </c>
    </row>
    <row r="2063" spans="1:7" x14ac:dyDescent="0.25">
      <c r="A2063" t="str">
        <f>"Desserts For Dummies"</f>
        <v>Desserts For Dummies</v>
      </c>
      <c r="B2063" t="str">
        <f>"9780764550478"</f>
        <v>9780764550478</v>
      </c>
      <c r="C2063">
        <v>8</v>
      </c>
      <c r="D2063" t="str">
        <f t="shared" si="137"/>
        <v>USD</v>
      </c>
      <c r="E2063" t="str">
        <f>"1997"</f>
        <v>1997</v>
      </c>
      <c r="F2063" t="str">
        <f>"Yosses"</f>
        <v>Yosses</v>
      </c>
      <c r="G2063" t="str">
        <f>"avanddanesh"</f>
        <v>avanddanesh</v>
      </c>
    </row>
    <row r="2064" spans="1:7" x14ac:dyDescent="0.25">
      <c r="A2064" t="str">
        <f>"Developing Technologies in Food Science: Status, Applications, and Challenges (Innovations in Agricultural &amp; Biological Engineering)"</f>
        <v>Developing Technologies in Food Science: Status, Applications, and Challenges (Innovations in Agricultural &amp; Biological Engineering)</v>
      </c>
      <c r="B2064" t="str">
        <f>"9781771884471"</f>
        <v>9781771884471</v>
      </c>
      <c r="C2064">
        <v>85.5</v>
      </c>
      <c r="D2064" t="str">
        <f>"GBP"</f>
        <v>GBP</v>
      </c>
      <c r="E2064" t="str">
        <f>"2017"</f>
        <v>2017</v>
      </c>
      <c r="F2064" t="str">
        <f>"Meghwal"</f>
        <v>Meghwal</v>
      </c>
      <c r="G2064" t="str">
        <f>"sal"</f>
        <v>sal</v>
      </c>
    </row>
    <row r="2065" spans="1:7" x14ac:dyDescent="0.25">
      <c r="A2065" t="str">
        <f>"Diabetes-Friendly Kitchen: 125 Recipes for Creating Healthy Meals"</f>
        <v>Diabetes-Friendly Kitchen: 125 Recipes for Creating Healthy Meals</v>
      </c>
      <c r="B2065" t="str">
        <f>"9780470587782"</f>
        <v>9780470587782</v>
      </c>
      <c r="C2065">
        <v>18</v>
      </c>
      <c r="D2065" t="str">
        <f t="shared" ref="D2065:D2074" si="138">"USD"</f>
        <v>USD</v>
      </c>
      <c r="E2065" t="str">
        <f>"2012"</f>
        <v>2012</v>
      </c>
      <c r="F2065" t="str">
        <f>"C.I.A"</f>
        <v>C.I.A</v>
      </c>
      <c r="G2065" t="str">
        <f>"avanddanesh"</f>
        <v>avanddanesh</v>
      </c>
    </row>
    <row r="2066" spans="1:7" x14ac:dyDescent="0.25">
      <c r="A2066" t="str">
        <f>"Diabetic Gourmet Cookbook"</f>
        <v>Diabetic Gourmet Cookbook</v>
      </c>
      <c r="B2066" t="str">
        <f>"9780471393269"</f>
        <v>9780471393269</v>
      </c>
      <c r="C2066">
        <v>6.8</v>
      </c>
      <c r="D2066" t="str">
        <f t="shared" si="138"/>
        <v>USD</v>
      </c>
      <c r="E2066" t="str">
        <f>"2004"</f>
        <v>2004</v>
      </c>
      <c r="F2066" t="str">
        <f>"Diabetic Gourme"</f>
        <v>Diabetic Gourme</v>
      </c>
      <c r="G2066" t="str">
        <f>"avanddanesh"</f>
        <v>avanddanesh</v>
      </c>
    </row>
    <row r="2067" spans="1:7" x14ac:dyDescent="0.25">
      <c r="A2067" t="str">
        <f>"Diabetic Living Quick and Easy Meals"</f>
        <v>Diabetic Living Quick and Easy Meals</v>
      </c>
      <c r="B2067" t="str">
        <f>"9780470872802"</f>
        <v>9780470872802</v>
      </c>
      <c r="C2067">
        <v>8</v>
      </c>
      <c r="D2067" t="str">
        <f t="shared" si="138"/>
        <v>USD</v>
      </c>
      <c r="E2067" t="str">
        <f>"2010"</f>
        <v>2010</v>
      </c>
      <c r="F2067" t="str">
        <f>"Diabetic Living"</f>
        <v>Diabetic Living</v>
      </c>
      <c r="G2067" t="str">
        <f>"avanddanesh"</f>
        <v>avanddanesh</v>
      </c>
    </row>
    <row r="2068" spans="1:7" x14ac:dyDescent="0.25">
      <c r="A2068" t="str">
        <f>"Dictionary of Flavors,3e"</f>
        <v>Dictionary of Flavors,3e</v>
      </c>
      <c r="B2068" t="str">
        <f>"9781118856413"</f>
        <v>9781118856413</v>
      </c>
      <c r="C2068">
        <v>207</v>
      </c>
      <c r="D2068" t="str">
        <f t="shared" si="138"/>
        <v>USD</v>
      </c>
      <c r="E2068" t="str">
        <f>"2017"</f>
        <v>2017</v>
      </c>
      <c r="F2068" t="str">
        <f>"De Rovira"</f>
        <v>De Rovira</v>
      </c>
      <c r="G2068" t="str">
        <f>"avanddanesh"</f>
        <v>avanddanesh</v>
      </c>
    </row>
    <row r="2069" spans="1:7" x14ac:dyDescent="0.25">
      <c r="A2069" t="str">
        <f>"Dictionary of Food &amp; Nutrition "</f>
        <v xml:space="preserve">Dictionary of Food &amp; Nutrition </v>
      </c>
      <c r="B2069" t="str">
        <f>"9788123906287"</f>
        <v>9788123906287</v>
      </c>
      <c r="C2069">
        <v>10.8</v>
      </c>
      <c r="D2069" t="str">
        <f t="shared" si="138"/>
        <v>USD</v>
      </c>
      <c r="E2069" t="str">
        <f>"2015"</f>
        <v>2015</v>
      </c>
      <c r="F2069" t="str">
        <f>"Sharma "</f>
        <v xml:space="preserve">Sharma </v>
      </c>
      <c r="G2069" t="str">
        <f>"jahanadib"</f>
        <v>jahanadib</v>
      </c>
    </row>
    <row r="2070" spans="1:7" x14ac:dyDescent="0.25">
      <c r="A2070" t="str">
        <f>"Diet, Microbiome and Health, Volume11"</f>
        <v>Diet, Microbiome and Health, Volume11</v>
      </c>
      <c r="B2070" t="str">
        <f>"9780128114360"</f>
        <v>9780128114360</v>
      </c>
      <c r="C2070">
        <v>135</v>
      </c>
      <c r="D2070" t="str">
        <f t="shared" si="138"/>
        <v>USD</v>
      </c>
      <c r="E2070" t="str">
        <f>"2018"</f>
        <v>2018</v>
      </c>
      <c r="F2070" t="str">
        <f>"Grumezescu and Holba"</f>
        <v>Grumezescu and Holba</v>
      </c>
      <c r="G2070" t="str">
        <f>"dehkadehketab"</f>
        <v>dehkadehketab</v>
      </c>
    </row>
    <row r="2071" spans="1:7" x14ac:dyDescent="0.25">
      <c r="A2071" t="str">
        <f>"DIETARY FIBER IN HEALTH &amp; DISEASE, HB"</f>
        <v>DIETARY FIBER IN HEALTH &amp; DISEASE, HB</v>
      </c>
      <c r="B2071" t="str">
        <f>"9780962440762"</f>
        <v>9780962440762</v>
      </c>
      <c r="C2071">
        <v>97.3</v>
      </c>
      <c r="D2071" t="str">
        <f t="shared" si="138"/>
        <v>USD</v>
      </c>
      <c r="E2071" t="str">
        <f>"2009"</f>
        <v>2009</v>
      </c>
      <c r="F2071" t="str">
        <f>"Kritchevsky"</f>
        <v>Kritchevsky</v>
      </c>
      <c r="G2071" t="str">
        <f>"supply"</f>
        <v>supply</v>
      </c>
    </row>
    <row r="2072" spans="1:7" x14ac:dyDescent="0.25">
      <c r="A2072" t="str">
        <f>"Dietary Fibre Functionality in Food and Nutraceuticals: From Plant to Gut"</f>
        <v>Dietary Fibre Functionality in Food and Nutraceuticals: From Plant to Gut</v>
      </c>
      <c r="B2072" t="str">
        <f>"9781119138051"</f>
        <v>9781119138051</v>
      </c>
      <c r="C2072">
        <v>148.5</v>
      </c>
      <c r="D2072" t="str">
        <f t="shared" si="138"/>
        <v>USD</v>
      </c>
      <c r="E2072" t="str">
        <f>"2017"</f>
        <v>2017</v>
      </c>
      <c r="F2072" t="str">
        <f>"Hosseinian"</f>
        <v>Hosseinian</v>
      </c>
      <c r="G2072" t="str">
        <f>"avanddanesh"</f>
        <v>avanddanesh</v>
      </c>
    </row>
    <row r="2073" spans="1:7" x14ac:dyDescent="0.25">
      <c r="A2073" t="str">
        <f>"Dietary Supplements and Functional Foods"</f>
        <v>Dietary Supplements and Functional Foods</v>
      </c>
      <c r="B2073" t="str">
        <f>"9781405119092"</f>
        <v>9781405119092</v>
      </c>
      <c r="C2073">
        <v>59.99</v>
      </c>
      <c r="D2073" t="str">
        <f t="shared" si="138"/>
        <v>USD</v>
      </c>
      <c r="E2073" t="str">
        <f>"2006"</f>
        <v>2006</v>
      </c>
      <c r="F2073" t="str">
        <f>"Webb"</f>
        <v>Webb</v>
      </c>
      <c r="G2073" t="str">
        <f>"safirketab"</f>
        <v>safirketab</v>
      </c>
    </row>
    <row r="2074" spans="1:7" x14ac:dyDescent="0.25">
      <c r="A2074" t="str">
        <f>"Dietary Supplements, Safety, Efficacy and Quality"</f>
        <v>Dietary Supplements, Safety, Efficacy and Quality</v>
      </c>
      <c r="B2074" t="str">
        <f>"9780081015698"</f>
        <v>9780081015698</v>
      </c>
      <c r="C2074">
        <v>265.5</v>
      </c>
      <c r="D2074" t="str">
        <f t="shared" si="138"/>
        <v>USD</v>
      </c>
      <c r="E2074" t="str">
        <f>"2017"</f>
        <v>2017</v>
      </c>
      <c r="F2074" t="str">
        <f>"Berginc and Kreft"</f>
        <v>Berginc and Kreft</v>
      </c>
      <c r="G2074" t="str">
        <f>"dehkadehketab"</f>
        <v>dehkadehketab</v>
      </c>
    </row>
    <row r="2075" spans="1:7" x14ac:dyDescent="0.25">
      <c r="A2075" t="str">
        <f>"Differential Scanning Calorimetry: Applications in Fat and Oil Technology"</f>
        <v>Differential Scanning Calorimetry: Applications in Fat and Oil Technology</v>
      </c>
      <c r="B2075" t="str">
        <f>"9781466591523"</f>
        <v>9781466591523</v>
      </c>
      <c r="C2075">
        <v>122.4</v>
      </c>
      <c r="D2075" t="str">
        <f>"GBP"</f>
        <v>GBP</v>
      </c>
      <c r="E2075" t="str">
        <f>"2015"</f>
        <v>2015</v>
      </c>
      <c r="F2075" t="str">
        <f>"Emma Chiavaro(Edito"</f>
        <v>Emma Chiavaro(Edito</v>
      </c>
      <c r="G2075" t="str">
        <f>"AsarBartar"</f>
        <v>AsarBartar</v>
      </c>
    </row>
    <row r="2076" spans="1:7" x14ac:dyDescent="0.25">
      <c r="A2076" t="str">
        <f>"Drying and Storage of Cereal Grains,2e"</f>
        <v>Drying and Storage of Cereal Grains,2e</v>
      </c>
      <c r="B2076" t="str">
        <f>"9781119124238"</f>
        <v>9781119124238</v>
      </c>
      <c r="C2076">
        <v>140.30000000000001</v>
      </c>
      <c r="D2076" t="str">
        <f>"USD"</f>
        <v>USD</v>
      </c>
      <c r="E2076" t="str">
        <f>"2016"</f>
        <v>2016</v>
      </c>
      <c r="F2076" t="str">
        <f>"Bala"</f>
        <v>Bala</v>
      </c>
      <c r="G2076" t="str">
        <f>"avanddanesh"</f>
        <v>avanddanesh</v>
      </c>
    </row>
    <row r="2077" spans="1:7" x14ac:dyDescent="0.25">
      <c r="A2077" t="str">
        <f>"Drying Technologies in Food Processing"</f>
        <v>Drying Technologies in Food Processing</v>
      </c>
      <c r="B2077" t="str">
        <f>"9781405157636"</f>
        <v>9781405157636</v>
      </c>
      <c r="C2077">
        <v>125.99</v>
      </c>
      <c r="D2077" t="str">
        <f>"USD"</f>
        <v>USD</v>
      </c>
      <c r="E2077" t="str">
        <f>"2008"</f>
        <v>2008</v>
      </c>
      <c r="F2077" t="str">
        <f>"Chen"</f>
        <v>Chen</v>
      </c>
      <c r="G2077" t="str">
        <f>"safirketab"</f>
        <v>safirketab</v>
      </c>
    </row>
    <row r="2078" spans="1:7" x14ac:dyDescent="0.25">
      <c r="A2078" t="str">
        <f>"Edible and Medicinal Mushrooms: Technology and Applications"</f>
        <v>Edible and Medicinal Mushrooms: Technology and Applications</v>
      </c>
      <c r="B2078" t="str">
        <f>"9781119149415"</f>
        <v>9781119149415</v>
      </c>
      <c r="C2078">
        <v>180</v>
      </c>
      <c r="D2078" t="str">
        <f>"USD"</f>
        <v>USD</v>
      </c>
      <c r="E2078" t="str">
        <f>"2017"</f>
        <v>2017</v>
      </c>
      <c r="F2078" t="str">
        <f>"Zied"</f>
        <v>Zied</v>
      </c>
      <c r="G2078" t="str">
        <f>"avanddanesh"</f>
        <v>avanddanesh</v>
      </c>
    </row>
    <row r="2079" spans="1:7" x14ac:dyDescent="0.25">
      <c r="A2079" t="str">
        <f>"Edible Films and Coatings: Fundamentals and Applications (Food Preservation Technology)"</f>
        <v>Edible Films and Coatings: Fundamentals and Applications (Food Preservation Technology)</v>
      </c>
      <c r="B2079" t="str">
        <f>"9781482218312"</f>
        <v>9781482218312</v>
      </c>
      <c r="C2079">
        <v>135.15</v>
      </c>
      <c r="D2079" t="str">
        <f>"GBP"</f>
        <v>GBP</v>
      </c>
      <c r="E2079" t="str">
        <f>"2016"</f>
        <v>2016</v>
      </c>
      <c r="F2079" t="str">
        <f>"Maria Pilar Montero"</f>
        <v>Maria Pilar Montero</v>
      </c>
      <c r="G2079" t="str">
        <f>"AsarBartar"</f>
        <v>AsarBartar</v>
      </c>
    </row>
    <row r="2080" spans="1:7" x14ac:dyDescent="0.25">
      <c r="A2080" t="str">
        <f>"Edible Oil Structuring : Concepts, Methods and Applications"</f>
        <v>Edible Oil Structuring : Concepts, Methods and Applications</v>
      </c>
      <c r="B2080" t="str">
        <f>"9781782628293"</f>
        <v>9781782628293</v>
      </c>
      <c r="C2080">
        <v>126.7</v>
      </c>
      <c r="D2080" t="str">
        <f>"GBP"</f>
        <v>GBP</v>
      </c>
      <c r="E2080" t="str">
        <f>"2018"</f>
        <v>2018</v>
      </c>
      <c r="F2080" t="str">
        <f>"Ashok R Patel"</f>
        <v>Ashok R Patel</v>
      </c>
      <c r="G2080" t="str">
        <f>"arzinbooks"</f>
        <v>arzinbooks</v>
      </c>
    </row>
    <row r="2081" spans="1:7" x14ac:dyDescent="0.25">
      <c r="A2081" t="str">
        <f>"Egg Innovations and Strategies for Improvements"</f>
        <v>Egg Innovations and Strategies for Improvements</v>
      </c>
      <c r="B2081" t="str">
        <f>"9780128008027"</f>
        <v>9780128008027</v>
      </c>
      <c r="C2081">
        <v>180</v>
      </c>
      <c r="D2081" t="str">
        <f t="shared" ref="D2081:D2092" si="139">"USD"</f>
        <v>USD</v>
      </c>
      <c r="E2081" t="str">
        <f>"2017"</f>
        <v>2017</v>
      </c>
      <c r="F2081" t="str">
        <f>"Hester, Patricia"</f>
        <v>Hester, Patricia</v>
      </c>
      <c r="G2081" t="str">
        <f>"dehkadehketab"</f>
        <v>dehkadehketab</v>
      </c>
    </row>
    <row r="2082" spans="1:7" x14ac:dyDescent="0.25">
      <c r="A2082" t="str">
        <f>"Electron Beam Pasteurization and Complementary Food Processing Technologies"</f>
        <v>Electron Beam Pasteurization and Complementary Food Processing Technologies</v>
      </c>
      <c r="B2082" t="str">
        <f>"9780081013397"</f>
        <v>9780081013397</v>
      </c>
      <c r="C2082">
        <v>252</v>
      </c>
      <c r="D2082" t="str">
        <f t="shared" si="139"/>
        <v>USD</v>
      </c>
      <c r="E2082" t="str">
        <f>"2017"</f>
        <v>2017</v>
      </c>
      <c r="F2082" t="str">
        <f>"Pillai and Shayanfar"</f>
        <v>Pillai and Shayanfar</v>
      </c>
      <c r="G2082" t="str">
        <f>"dehkadehketab"</f>
        <v>dehkadehketab</v>
      </c>
    </row>
    <row r="2083" spans="1:7" x14ac:dyDescent="0.25">
      <c r="A2083" t="str">
        <f>"Emerging Dairy Processing Technologies: Opportunities for the Dairy Industry"</f>
        <v>Emerging Dairy Processing Technologies: Opportunities for the Dairy Industry</v>
      </c>
      <c r="B2083" t="str">
        <f>"9781118560624"</f>
        <v>9781118560624</v>
      </c>
      <c r="C2083">
        <v>132</v>
      </c>
      <c r="D2083" t="str">
        <f t="shared" si="139"/>
        <v>USD</v>
      </c>
      <c r="E2083" t="str">
        <f>"2015"</f>
        <v>2015</v>
      </c>
      <c r="F2083" t="str">
        <f>"Datta"</f>
        <v>Datta</v>
      </c>
      <c r="G2083" t="str">
        <f>"avanddanesh"</f>
        <v>avanddanesh</v>
      </c>
    </row>
    <row r="2084" spans="1:7" x14ac:dyDescent="0.25">
      <c r="A2084" t="str">
        <f>"Emerging Technologies for Food Processing, 2nd Edition"</f>
        <v>Emerging Technologies for Food Processing, 2nd Edition</v>
      </c>
      <c r="B2084" t="str">
        <f>"9780081013168"</f>
        <v>9780081013168</v>
      </c>
      <c r="C2084">
        <v>157.44999999999999</v>
      </c>
      <c r="D2084" t="str">
        <f t="shared" si="139"/>
        <v>USD</v>
      </c>
      <c r="E2084" t="str">
        <f>"2017"</f>
        <v>2017</v>
      </c>
      <c r="F2084" t="str">
        <f>"Sun"</f>
        <v>Sun</v>
      </c>
      <c r="G2084" t="str">
        <f>"dehkadehketab"</f>
        <v>dehkadehketab</v>
      </c>
    </row>
    <row r="2085" spans="1:7" x14ac:dyDescent="0.25">
      <c r="A2085" t="str">
        <f>"Emerging Technologies For Promoting Food Security,"</f>
        <v>Emerging Technologies For Promoting Food Security,</v>
      </c>
      <c r="B2085" t="str">
        <f>"9781782423355"</f>
        <v>9781782423355</v>
      </c>
      <c r="C2085">
        <v>180</v>
      </c>
      <c r="D2085" t="str">
        <f t="shared" si="139"/>
        <v>USD</v>
      </c>
      <c r="E2085" t="str">
        <f>"2015"</f>
        <v>2015</v>
      </c>
      <c r="F2085" t="str">
        <f>"N/A*"</f>
        <v>N/A*</v>
      </c>
      <c r="G2085" t="str">
        <f>"dehkadehketab"</f>
        <v>dehkadehketab</v>
      </c>
    </row>
    <row r="2086" spans="1:7" x14ac:dyDescent="0.25">
      <c r="A2086" t="str">
        <f>"Emerging Technologies in Meat Processing: Production, Processing and Technology"</f>
        <v>Emerging Technologies in Meat Processing: Production, Processing and Technology</v>
      </c>
      <c r="B2086" t="str">
        <f>"9781118350683"</f>
        <v>9781118350683</v>
      </c>
      <c r="C2086">
        <v>140.30000000000001</v>
      </c>
      <c r="D2086" t="str">
        <f t="shared" si="139"/>
        <v>USD</v>
      </c>
      <c r="E2086" t="str">
        <f>"2016"</f>
        <v>2016</v>
      </c>
      <c r="F2086" t="str">
        <f>"Cummins"</f>
        <v>Cummins</v>
      </c>
      <c r="G2086" t="str">
        <f>"avanddanesh"</f>
        <v>avanddanesh</v>
      </c>
    </row>
    <row r="2087" spans="1:7" x14ac:dyDescent="0.25">
      <c r="A2087" t="str">
        <f>"Encapsulation and Controlled Release Technologies in Food Systems,2e"</f>
        <v>Encapsulation and Controlled Release Technologies in Food Systems,2e</v>
      </c>
      <c r="B2087" t="str">
        <f>"9781118733523"</f>
        <v>9781118733523</v>
      </c>
      <c r="C2087">
        <v>144.5</v>
      </c>
      <c r="D2087" t="str">
        <f t="shared" si="139"/>
        <v>USD</v>
      </c>
      <c r="E2087" t="str">
        <f>"2016"</f>
        <v>2016</v>
      </c>
      <c r="F2087" t="str">
        <f>"Lakkis"</f>
        <v>Lakkis</v>
      </c>
      <c r="G2087" t="str">
        <f>"avanddanesh"</f>
        <v>avanddanesh</v>
      </c>
    </row>
    <row r="2088" spans="1:7" x14ac:dyDescent="0.25">
      <c r="A2088" t="str">
        <f>"ENCYCLOPAEDIA OF NUTRITION AND DIET CONTROL MANAGEMENT, Set of 2 vols, HB"</f>
        <v>ENCYCLOPAEDIA OF NUTRITION AND DIET CONTROL MANAGEMENT, Set of 2 vols, HB</v>
      </c>
      <c r="B2088" t="str">
        <f>"9788126141043"</f>
        <v>9788126141043</v>
      </c>
      <c r="C2088">
        <v>105</v>
      </c>
      <c r="D2088" t="str">
        <f t="shared" si="139"/>
        <v>USD</v>
      </c>
      <c r="E2088" t="str">
        <f>"2009"</f>
        <v>2009</v>
      </c>
      <c r="F2088" t="str">
        <f>"Kumari"</f>
        <v>Kumari</v>
      </c>
      <c r="G2088" t="str">
        <f>"supply"</f>
        <v>supply</v>
      </c>
    </row>
    <row r="2089" spans="1:7" x14ac:dyDescent="0.25">
      <c r="A2089" t="str">
        <f>"Engineering For Storage Of Fruits And Vegetables,"</f>
        <v>Engineering For Storage Of Fruits And Vegetables,</v>
      </c>
      <c r="B2089" t="str">
        <f>"9780128033654"</f>
        <v>9780128033654</v>
      </c>
      <c r="C2089">
        <v>180</v>
      </c>
      <c r="D2089" t="str">
        <f t="shared" si="139"/>
        <v>USD</v>
      </c>
      <c r="E2089" t="str">
        <f>"2015"</f>
        <v>2015</v>
      </c>
      <c r="F2089" t="str">
        <f>"N/A*"</f>
        <v>N/A*</v>
      </c>
      <c r="G2089" t="str">
        <f>"dehkadehketab"</f>
        <v>dehkadehketab</v>
      </c>
    </row>
    <row r="2090" spans="1:7" x14ac:dyDescent="0.25">
      <c r="A2090" t="str">
        <f>"ENZYME &amp; FOOD BIOTECHNOLOGY, HB"</f>
        <v>ENZYME &amp; FOOD BIOTECHNOLOGY, HB</v>
      </c>
      <c r="B2090" t="str">
        <f>"9789380199801"</f>
        <v>9789380199801</v>
      </c>
      <c r="C2090">
        <v>22.4</v>
      </c>
      <c r="D2090" t="str">
        <f t="shared" si="139"/>
        <v>USD</v>
      </c>
      <c r="E2090" t="str">
        <f>"2010"</f>
        <v>2010</v>
      </c>
      <c r="F2090" t="str">
        <f>"Ranganathan"</f>
        <v>Ranganathan</v>
      </c>
      <c r="G2090" t="str">
        <f>"supply"</f>
        <v>supply</v>
      </c>
    </row>
    <row r="2091" spans="1:7" x14ac:dyDescent="0.25">
      <c r="A2091" t="str">
        <f>"ENZYMES IN FOOD PROCESSING, HB"</f>
        <v>ENZYMES IN FOOD PROCESSING, HB</v>
      </c>
      <c r="B2091" t="str">
        <f>"9789350300718"</f>
        <v>9789350300718</v>
      </c>
      <c r="C2091">
        <v>40.18</v>
      </c>
      <c r="D2091" t="str">
        <f t="shared" si="139"/>
        <v>USD</v>
      </c>
      <c r="E2091" t="str">
        <f>"2012"</f>
        <v>2012</v>
      </c>
      <c r="F2091" t="str">
        <f>"Choudhary"</f>
        <v>Choudhary</v>
      </c>
      <c r="G2091" t="str">
        <f>"supply"</f>
        <v>supply</v>
      </c>
    </row>
    <row r="2092" spans="1:7" x14ac:dyDescent="0.25">
      <c r="A2092" t="str">
        <f>"Enzymes in Human and Animal Nutrition, Principles and Perspectives"</f>
        <v>Enzymes in Human and Animal Nutrition, Principles and Perspectives</v>
      </c>
      <c r="B2092" t="str">
        <f>"9780128054116"</f>
        <v>9780128054116</v>
      </c>
      <c r="C2092">
        <v>157.5</v>
      </c>
      <c r="D2092" t="str">
        <f t="shared" si="139"/>
        <v>USD</v>
      </c>
      <c r="E2092" t="str">
        <f>"2018"</f>
        <v>2018</v>
      </c>
      <c r="F2092" t="str">
        <f>"Nunes and Kumar"</f>
        <v>Nunes and Kumar</v>
      </c>
      <c r="G2092" t="str">
        <f>"dehkadehketab"</f>
        <v>dehkadehketab</v>
      </c>
    </row>
    <row r="2093" spans="1:7" x14ac:dyDescent="0.25">
      <c r="A2093" t="str">
        <f>"Essential Guide to Food Additives"</f>
        <v>Essential Guide to Food Additives</v>
      </c>
      <c r="B2093" t="str">
        <f>"9781849735605"</f>
        <v>9781849735605</v>
      </c>
      <c r="C2093">
        <v>28</v>
      </c>
      <c r="D2093" t="str">
        <f>"GBP"</f>
        <v>GBP</v>
      </c>
      <c r="E2093" t="str">
        <f>"2013"</f>
        <v>2013</v>
      </c>
      <c r="F2093" t="str">
        <f>"Mike Saltmarsh(Edito"</f>
        <v>Mike Saltmarsh(Edito</v>
      </c>
      <c r="G2093" t="str">
        <f>"arzinbooks"</f>
        <v>arzinbooks</v>
      </c>
    </row>
    <row r="2094" spans="1:7" x14ac:dyDescent="0.25">
      <c r="A2094" t="str">
        <f>"Essential Oils in Food Processing: Chemistry, Safety and Applications"</f>
        <v>Essential Oils in Food Processing: Chemistry, Safety and Applications</v>
      </c>
      <c r="B2094" t="str">
        <f>"9781119149347"</f>
        <v>9781119149347</v>
      </c>
      <c r="C2094">
        <v>180</v>
      </c>
      <c r="D2094" t="str">
        <f t="shared" ref="D2094:D2112" si="140">"USD"</f>
        <v>USD</v>
      </c>
      <c r="E2094" t="str">
        <f>"2017"</f>
        <v>2017</v>
      </c>
      <c r="F2094" t="str">
        <f>"Khaneghah"</f>
        <v>Khaneghah</v>
      </c>
      <c r="G2094" t="str">
        <f>"avanddanesh"</f>
        <v>avanddanesh</v>
      </c>
    </row>
    <row r="2095" spans="1:7" x14ac:dyDescent="0.25">
      <c r="A2095" t="str">
        <f>"Essentials of Thermal Processing"</f>
        <v>Essentials of Thermal Processing</v>
      </c>
      <c r="B2095" t="str">
        <f>"9781405190589"</f>
        <v>9781405190589</v>
      </c>
      <c r="C2095">
        <v>76</v>
      </c>
      <c r="D2095" t="str">
        <f t="shared" si="140"/>
        <v>USD</v>
      </c>
      <c r="E2095" t="str">
        <f>"2010"</f>
        <v>2010</v>
      </c>
      <c r="F2095" t="str">
        <f>"Tucker"</f>
        <v>Tucker</v>
      </c>
      <c r="G2095" t="str">
        <f>"safirketab"</f>
        <v>safirketab</v>
      </c>
    </row>
    <row r="2096" spans="1:7" x14ac:dyDescent="0.25">
      <c r="A2096" t="str">
        <f>"Essentials of Thermal Processing"</f>
        <v>Essentials of Thermal Processing</v>
      </c>
      <c r="B2096" t="str">
        <f>"9781405190589"</f>
        <v>9781405190589</v>
      </c>
      <c r="C2096">
        <v>76</v>
      </c>
      <c r="D2096" t="str">
        <f t="shared" si="140"/>
        <v>USD</v>
      </c>
      <c r="E2096" t="str">
        <f>"2010"</f>
        <v>2010</v>
      </c>
      <c r="F2096" t="str">
        <f>"Tucker"</f>
        <v>Tucker</v>
      </c>
      <c r="G2096" t="str">
        <f>"avanddanesh"</f>
        <v>avanddanesh</v>
      </c>
    </row>
    <row r="2097" spans="1:7" x14ac:dyDescent="0.25">
      <c r="A2097" t="str">
        <f>"Evolutionary Algorithms for Food Science and Technology"</f>
        <v>Evolutionary Algorithms for Food Science and Technology</v>
      </c>
      <c r="B2097" t="str">
        <f>"9781848218130"</f>
        <v>9781848218130</v>
      </c>
      <c r="C2097">
        <v>114.8</v>
      </c>
      <c r="D2097" t="str">
        <f t="shared" si="140"/>
        <v>USD</v>
      </c>
      <c r="E2097" t="str">
        <f>"2016"</f>
        <v>2016</v>
      </c>
      <c r="F2097" t="str">
        <f>"Lutton"</f>
        <v>Lutton</v>
      </c>
      <c r="G2097" t="str">
        <f>"avanddanesh"</f>
        <v>avanddanesh</v>
      </c>
    </row>
    <row r="2098" spans="1:7" x14ac:dyDescent="0.25">
      <c r="A2098" t="str">
        <f>"Exotic Fruits Reference Guide"</f>
        <v>Exotic Fruits Reference Guide</v>
      </c>
      <c r="B2098" t="str">
        <f>"9780128031315"</f>
        <v>9780128031315</v>
      </c>
      <c r="C2098">
        <v>180</v>
      </c>
      <c r="D2098" t="str">
        <f t="shared" si="140"/>
        <v>USD</v>
      </c>
      <c r="E2098" t="str">
        <f>"2018"</f>
        <v>2018</v>
      </c>
      <c r="F2098" t="str">
        <f>"Rodrigues et al"</f>
        <v>Rodrigues et al</v>
      </c>
      <c r="G2098" t="str">
        <f>"dehkadehketab"</f>
        <v>dehkadehketab</v>
      </c>
    </row>
    <row r="2099" spans="1:7" x14ac:dyDescent="0.25">
      <c r="A2099" t="str">
        <f>"Expect the Best:Your Guide to Healthy Eating Before, During, and After Pregnancy"</f>
        <v>Expect the Best:Your Guide to Healthy Eating Before, During, and After Pregnancy</v>
      </c>
      <c r="B2099" t="str">
        <f>"9780470290767"</f>
        <v>9780470290767</v>
      </c>
      <c r="C2099">
        <v>11.96</v>
      </c>
      <c r="D2099" t="str">
        <f t="shared" si="140"/>
        <v>USD</v>
      </c>
      <c r="E2099" t="str">
        <f>"2009"</f>
        <v>2009</v>
      </c>
      <c r="F2099" t="str">
        <f>"ADA"</f>
        <v>ADA</v>
      </c>
      <c r="G2099" t="str">
        <f>"safirketab"</f>
        <v>safirketab</v>
      </c>
    </row>
    <row r="2100" spans="1:7" x14ac:dyDescent="0.25">
      <c r="A2100" t="str">
        <f>"Exploration, Identification And Utilization Of Bar"</f>
        <v>Exploration, Identification And Utilization Of Bar</v>
      </c>
      <c r="B2100" t="str">
        <f>"9780128029220"</f>
        <v>9780128029220</v>
      </c>
      <c r="C2100">
        <v>162</v>
      </c>
      <c r="D2100" t="str">
        <f t="shared" si="140"/>
        <v>USD</v>
      </c>
      <c r="E2100" t="str">
        <f>"2015"</f>
        <v>2015</v>
      </c>
      <c r="F2100" t="str">
        <f>"N/A*"</f>
        <v>N/A*</v>
      </c>
      <c r="G2100" t="str">
        <f>"dehkadehketab"</f>
        <v>dehkadehketab</v>
      </c>
    </row>
    <row r="2101" spans="1:7" x14ac:dyDescent="0.25">
      <c r="A2101" t="str">
        <f>"Extrusion Problems Solved, Food, Pet Food and Feed"</f>
        <v>Extrusion Problems Solved, Food, Pet Food and Feed</v>
      </c>
      <c r="B2101" t="str">
        <f>"9780081016374"</f>
        <v>9780081016374</v>
      </c>
      <c r="C2101">
        <v>207</v>
      </c>
      <c r="D2101" t="str">
        <f t="shared" si="140"/>
        <v>USD</v>
      </c>
      <c r="E2101" t="str">
        <f>"2017"</f>
        <v>2017</v>
      </c>
      <c r="F2101" t="str">
        <f>"Riaz and Rokey"</f>
        <v>Riaz and Rokey</v>
      </c>
      <c r="G2101" t="str">
        <f>"dehkadehketab"</f>
        <v>dehkadehketab</v>
      </c>
    </row>
    <row r="2102" spans="1:7" x14ac:dyDescent="0.25">
      <c r="A2102" t="str">
        <f>"Extrusion Processing Technology: Food and Non- Food Biomaterials"</f>
        <v>Extrusion Processing Technology: Food and Non- Food Biomaterials</v>
      </c>
      <c r="B2102" t="str">
        <f>"9781444338119"</f>
        <v>9781444338119</v>
      </c>
      <c r="C2102">
        <v>127.5</v>
      </c>
      <c r="D2102" t="str">
        <f t="shared" si="140"/>
        <v>USD</v>
      </c>
      <c r="E2102" t="str">
        <f>"2014"</f>
        <v>2014</v>
      </c>
      <c r="F2102" t="str">
        <f>"Bouvier"</f>
        <v>Bouvier</v>
      </c>
      <c r="G2102" t="str">
        <f>"avanddanesh"</f>
        <v>avanddanesh</v>
      </c>
    </row>
    <row r="2103" spans="1:7" x14ac:dyDescent="0.25">
      <c r="A2103" t="str">
        <f>"Extrusion-Cooking Techniques: Applications, Theory and Sustainability"</f>
        <v>Extrusion-Cooking Techniques: Applications, Theory and Sustainability</v>
      </c>
      <c r="B2103" t="str">
        <f>"9783527328888"</f>
        <v>9783527328888</v>
      </c>
      <c r="C2103">
        <v>47.6</v>
      </c>
      <c r="D2103" t="str">
        <f t="shared" si="140"/>
        <v>USD</v>
      </c>
      <c r="E2103" t="str">
        <f>"2011"</f>
        <v>2011</v>
      </c>
      <c r="F2103" t="str">
        <f>"Moscicki"</f>
        <v>Moscicki</v>
      </c>
      <c r="G2103" t="str">
        <f>"avanddanesh"</f>
        <v>avanddanesh</v>
      </c>
    </row>
    <row r="2104" spans="1:7" x14ac:dyDescent="0.25">
      <c r="A2104" t="str">
        <f>"Extrusion-Cooking Techniques: Applications, Theory and Sustainability"</f>
        <v>Extrusion-Cooking Techniques: Applications, Theory and Sustainability</v>
      </c>
      <c r="B2104" t="str">
        <f>"9783527328888"</f>
        <v>9783527328888</v>
      </c>
      <c r="C2104">
        <v>47.6</v>
      </c>
      <c r="D2104" t="str">
        <f t="shared" si="140"/>
        <v>USD</v>
      </c>
      <c r="E2104" t="str">
        <f>"2011"</f>
        <v>2011</v>
      </c>
      <c r="F2104" t="str">
        <f>"Moscicki"</f>
        <v>Moscicki</v>
      </c>
      <c r="G2104" t="str">
        <f>"safirketab"</f>
        <v>safirketab</v>
      </c>
    </row>
    <row r="2105" spans="1:7" x14ac:dyDescent="0.25">
      <c r="A2105" t="str">
        <f>"Falling Off the Bone"</f>
        <v>Falling Off the Bone</v>
      </c>
      <c r="B2105" t="str">
        <f>"9780470467138"</f>
        <v>9780470467138</v>
      </c>
      <c r="C2105">
        <v>12</v>
      </c>
      <c r="D2105" t="str">
        <f t="shared" si="140"/>
        <v>USD</v>
      </c>
      <c r="E2105" t="str">
        <f>"2010"</f>
        <v>2010</v>
      </c>
      <c r="F2105" t="str">
        <f>"Anderson"</f>
        <v>Anderson</v>
      </c>
      <c r="G2105" t="str">
        <f>"avanddanesh"</f>
        <v>avanddanesh</v>
      </c>
    </row>
    <row r="2106" spans="1:7" x14ac:dyDescent="0.25">
      <c r="A2106" t="str">
        <f>"Fast &amp; Healthy Cookbook"</f>
        <v>Fast &amp; Healthy Cookbook</v>
      </c>
      <c r="B2106" t="str">
        <f>"9780470287446"</f>
        <v>9780470287446</v>
      </c>
      <c r="C2106">
        <v>14.96</v>
      </c>
      <c r="D2106" t="str">
        <f t="shared" si="140"/>
        <v>USD</v>
      </c>
      <c r="E2106" t="str">
        <f>"2009"</f>
        <v>2009</v>
      </c>
      <c r="F2106" t="str">
        <f>"Pillsbury Editors"</f>
        <v>Pillsbury Editors</v>
      </c>
      <c r="G2106" t="str">
        <f>"safirketab"</f>
        <v>safirketab</v>
      </c>
    </row>
    <row r="2107" spans="1:7" x14ac:dyDescent="0.25">
      <c r="A2107" t="str">
        <f>"Fast Food Diet: Lose Weight and Feel Great Even If You're Too Busy to Eat Right"</f>
        <v>Fast Food Diet: Lose Weight and Feel Great Even If You're Too Busy to Eat Right</v>
      </c>
      <c r="B2107" t="str">
        <f>"9780471790471"</f>
        <v>9780471790471</v>
      </c>
      <c r="C2107">
        <v>6</v>
      </c>
      <c r="D2107" t="str">
        <f t="shared" si="140"/>
        <v>USD</v>
      </c>
      <c r="E2107" t="str">
        <f>"2006"</f>
        <v>2006</v>
      </c>
      <c r="F2107" t="str">
        <f>"Sinatra"</f>
        <v>Sinatra</v>
      </c>
      <c r="G2107" t="str">
        <f>"avanddanesh"</f>
        <v>avanddanesh</v>
      </c>
    </row>
    <row r="2108" spans="1:7" x14ac:dyDescent="0.25">
      <c r="A2108" t="str">
        <f>"FATS AND OILS IN HEALTH AND NUTRITION, HB,.    'NEW'"</f>
        <v>FATS AND OILS IN HEALTH AND NUTRITION, HB,.    'NEW'</v>
      </c>
      <c r="B2108" t="str">
        <f>"9789351242406"</f>
        <v>9789351242406</v>
      </c>
      <c r="C2108">
        <v>31.86</v>
      </c>
      <c r="D2108" t="str">
        <f t="shared" si="140"/>
        <v>USD</v>
      </c>
      <c r="E2108" t="str">
        <f>"2014"</f>
        <v>2014</v>
      </c>
      <c r="F2108" t="str">
        <f>"Khetarpaul"</f>
        <v>Khetarpaul</v>
      </c>
      <c r="G2108" t="str">
        <f>"supply"</f>
        <v>supply</v>
      </c>
    </row>
    <row r="2109" spans="1:7" x14ac:dyDescent="0.25">
      <c r="A2109" t="str">
        <f>"Fats in Food Technology,2e"</f>
        <v>Fats in Food Technology,2e</v>
      </c>
      <c r="B2109" t="str">
        <f>"9781405195423"</f>
        <v>9781405195423</v>
      </c>
      <c r="C2109">
        <v>127.5</v>
      </c>
      <c r="D2109" t="str">
        <f t="shared" si="140"/>
        <v>USD</v>
      </c>
      <c r="E2109" t="str">
        <f>"2014"</f>
        <v>2014</v>
      </c>
      <c r="F2109" t="str">
        <f>"Rajah"</f>
        <v>Rajah</v>
      </c>
      <c r="G2109" t="str">
        <f>"avanddanesh"</f>
        <v>avanddanesh</v>
      </c>
    </row>
    <row r="2110" spans="1:7" x14ac:dyDescent="0.25">
      <c r="A2110" t="str">
        <f>"FCC 2016, Food Chemicals Codex ; U.S.Pharmacopiea"</f>
        <v>FCC 2016, Food Chemicals Codex ; U.S.Pharmacopiea</v>
      </c>
      <c r="B2110" t="str">
        <f>"9781936424511"</f>
        <v>9781936424511</v>
      </c>
      <c r="C2110">
        <v>390</v>
      </c>
      <c r="D2110" t="str">
        <f t="shared" si="140"/>
        <v>USD</v>
      </c>
      <c r="E2110" t="str">
        <f>"2016"</f>
        <v>2016</v>
      </c>
      <c r="F2110" t="str">
        <f>"U.S.PHARMACOPIEA"</f>
        <v>U.S.PHARMACOPIEA</v>
      </c>
      <c r="G2110" t="str">
        <f>"arzinbooks"</f>
        <v>arzinbooks</v>
      </c>
    </row>
    <row r="2111" spans="1:7" x14ac:dyDescent="0.25">
      <c r="A2111" t="str">
        <f>"FDA Warning Letters about Food Products, How to Avoid or Respond to Citations"</f>
        <v>FDA Warning Letters about Food Products, How to Avoid or Respond to Citations</v>
      </c>
      <c r="B2111" t="str">
        <f>"9780128054642"</f>
        <v>9780128054642</v>
      </c>
      <c r="C2111">
        <v>89.95</v>
      </c>
      <c r="D2111" t="str">
        <f t="shared" si="140"/>
        <v>USD</v>
      </c>
      <c r="E2111" t="str">
        <f>"2017"</f>
        <v>2017</v>
      </c>
      <c r="F2111" t="str">
        <f>"Frestedt"</f>
        <v>Frestedt</v>
      </c>
      <c r="G2111" t="str">
        <f>"dehkadehketab"</f>
        <v>dehkadehketab</v>
      </c>
    </row>
    <row r="2112" spans="1:7" x14ac:dyDescent="0.25">
      <c r="A2112" t="str">
        <f>"FERMENTATION TECHNOLOGY, HB"</f>
        <v>FERMENTATION TECHNOLOGY, HB</v>
      </c>
      <c r="B2112" t="str">
        <f>"9788177543520"</f>
        <v>9788177543520</v>
      </c>
      <c r="C2112">
        <v>28</v>
      </c>
      <c r="D2112" t="str">
        <f t="shared" si="140"/>
        <v>USD</v>
      </c>
      <c r="E2112" t="str">
        <f>"2008"</f>
        <v>2008</v>
      </c>
      <c r="F2112" t="str">
        <f>"Purohit"</f>
        <v>Purohit</v>
      </c>
      <c r="G2112" t="str">
        <f>"supply"</f>
        <v>supply</v>
      </c>
    </row>
    <row r="2113" spans="1:7" x14ac:dyDescent="0.25">
      <c r="A2113" t="str">
        <f>"Fermented Meat Products: Health Aspects (Food Biology Series)"</f>
        <v>Fermented Meat Products: Health Aspects (Food Biology Series)</v>
      </c>
      <c r="B2113" t="str">
        <f>"9781498733045"</f>
        <v>9781498733045</v>
      </c>
      <c r="C2113">
        <v>129.19999999999999</v>
      </c>
      <c r="D2113" t="str">
        <f>"GBP"</f>
        <v>GBP</v>
      </c>
      <c r="E2113" t="str">
        <f>"2016"</f>
        <v>2016</v>
      </c>
      <c r="F2113" t="str">
        <f>"Nevijo Zdolec(Edito"</f>
        <v>Nevijo Zdolec(Edito</v>
      </c>
      <c r="G2113" t="str">
        <f>"AsarBartar"</f>
        <v>AsarBartar</v>
      </c>
    </row>
    <row r="2114" spans="1:7" x14ac:dyDescent="0.25">
      <c r="A2114" t="str">
        <f>"Fermenting For Dummies"</f>
        <v>Fermenting For Dummies</v>
      </c>
      <c r="B2114" t="str">
        <f>"9781118615683"</f>
        <v>9781118615683</v>
      </c>
      <c r="C2114">
        <v>14.9</v>
      </c>
      <c r="D2114" t="str">
        <f t="shared" ref="D2114:D2120" si="141">"USD"</f>
        <v>USD</v>
      </c>
      <c r="E2114" t="str">
        <f>"2013"</f>
        <v>2013</v>
      </c>
      <c r="F2114" t="str">
        <f>"Wasserman"</f>
        <v>Wasserman</v>
      </c>
      <c r="G2114" t="str">
        <f>"avanddanesh"</f>
        <v>avanddanesh</v>
      </c>
    </row>
    <row r="2115" spans="1:7" x14ac:dyDescent="0.25">
      <c r="A2115" t="str">
        <f>"Fish Canning Handbook"</f>
        <v>Fish Canning Handbook</v>
      </c>
      <c r="B2115" t="str">
        <f>"9781405180993"</f>
        <v>9781405180993</v>
      </c>
      <c r="C2115">
        <v>76</v>
      </c>
      <c r="D2115" t="str">
        <f t="shared" si="141"/>
        <v>USD</v>
      </c>
      <c r="E2115" t="str">
        <f>"2010"</f>
        <v>2010</v>
      </c>
      <c r="F2115" t="str">
        <f>"Bratt"</f>
        <v>Bratt</v>
      </c>
      <c r="G2115" t="str">
        <f>"avanddanesh"</f>
        <v>avanddanesh</v>
      </c>
    </row>
    <row r="2116" spans="1:7" x14ac:dyDescent="0.25">
      <c r="A2116" t="str">
        <f>"Fish Oils"</f>
        <v>Fish Oils</v>
      </c>
      <c r="B2116" t="str">
        <f>"9781905224630"</f>
        <v>9781905224630</v>
      </c>
      <c r="C2116">
        <v>72</v>
      </c>
      <c r="D2116" t="str">
        <f t="shared" si="141"/>
        <v>USD</v>
      </c>
      <c r="E2116" t="str">
        <f>"2009"</f>
        <v>2009</v>
      </c>
      <c r="F2116" t="str">
        <f>"Rossell"</f>
        <v>Rossell</v>
      </c>
      <c r="G2116" t="str">
        <f>"avanddanesh"</f>
        <v>avanddanesh</v>
      </c>
    </row>
    <row r="2117" spans="1:7" x14ac:dyDescent="0.25">
      <c r="A2117" t="str">
        <f>"Fish Processing: Sustainability and New Opportunities"</f>
        <v>Fish Processing: Sustainability and New Opportunities</v>
      </c>
      <c r="B2117" t="str">
        <f>"9781405190473"</f>
        <v>9781405190473</v>
      </c>
      <c r="C2117">
        <v>76</v>
      </c>
      <c r="D2117" t="str">
        <f t="shared" si="141"/>
        <v>USD</v>
      </c>
      <c r="E2117" t="str">
        <f>"2010"</f>
        <v>2010</v>
      </c>
      <c r="F2117" t="str">
        <f>"Hall"</f>
        <v>Hall</v>
      </c>
      <c r="G2117" t="str">
        <f>"safirketab"</f>
        <v>safirketab</v>
      </c>
    </row>
    <row r="2118" spans="1:7" x14ac:dyDescent="0.25">
      <c r="A2118" t="str">
        <f>"Fish Processing: Sustainability and New Opportunities"</f>
        <v>Fish Processing: Sustainability and New Opportunities</v>
      </c>
      <c r="B2118" t="str">
        <f>"9781405190473"</f>
        <v>9781405190473</v>
      </c>
      <c r="C2118">
        <v>76</v>
      </c>
      <c r="D2118" t="str">
        <f t="shared" si="141"/>
        <v>USD</v>
      </c>
      <c r="E2118" t="str">
        <f>"2010"</f>
        <v>2010</v>
      </c>
      <c r="F2118" t="str">
        <f>"Hall"</f>
        <v>Hall</v>
      </c>
      <c r="G2118" t="str">
        <f>"avanddanesh"</f>
        <v>avanddanesh</v>
      </c>
    </row>
    <row r="2119" spans="1:7" x14ac:dyDescent="0.25">
      <c r="A2119" t="str">
        <f>"Flavour: From Food to Perception"</f>
        <v>Flavour: From Food to Perception</v>
      </c>
      <c r="B2119" t="str">
        <f>"9781118929414"</f>
        <v>9781118929414</v>
      </c>
      <c r="C2119">
        <v>140.30000000000001</v>
      </c>
      <c r="D2119" t="str">
        <f t="shared" si="141"/>
        <v>USD</v>
      </c>
      <c r="E2119" t="str">
        <f>"2016"</f>
        <v>2016</v>
      </c>
      <c r="F2119" t="str">
        <f>"Guichard"</f>
        <v>Guichard</v>
      </c>
      <c r="G2119" t="str">
        <f>"avanddanesh"</f>
        <v>avanddanesh</v>
      </c>
    </row>
    <row r="2120" spans="1:7" x14ac:dyDescent="0.25">
      <c r="A2120" t="str">
        <f>"Flowering Plants: Structure and Industrial Products"</f>
        <v>Flowering Plants: Structure and Industrial Products</v>
      </c>
      <c r="B2120" t="str">
        <f>"9781119262770"</f>
        <v>9781119262770</v>
      </c>
      <c r="C2120">
        <v>148.5</v>
      </c>
      <c r="D2120" t="str">
        <f t="shared" si="141"/>
        <v>USD</v>
      </c>
      <c r="E2120" t="str">
        <f>"2017"</f>
        <v>2017</v>
      </c>
      <c r="F2120" t="str">
        <f>"Khan"</f>
        <v>Khan</v>
      </c>
      <c r="G2120" t="str">
        <f>"avanddanesh"</f>
        <v>avanddanesh</v>
      </c>
    </row>
    <row r="2121" spans="1:7" x14ac:dyDescent="0.25">
      <c r="A2121" t="str">
        <f>"Food : The Chemistry of its Components"</f>
        <v>Food : The Chemistry of its Components</v>
      </c>
      <c r="B2121" t="str">
        <f>"9781849738804"</f>
        <v>9781849738804</v>
      </c>
      <c r="C2121">
        <v>20.8</v>
      </c>
      <c r="D2121" t="str">
        <f>"GBP"</f>
        <v>GBP</v>
      </c>
      <c r="E2121" t="str">
        <f>"2016"</f>
        <v>2016</v>
      </c>
      <c r="F2121" t="str">
        <f>"Coultate"</f>
        <v>Coultate</v>
      </c>
      <c r="G2121" t="str">
        <f>"arzinbooks"</f>
        <v>arzinbooks</v>
      </c>
    </row>
    <row r="2122" spans="1:7" x14ac:dyDescent="0.25">
      <c r="A2122" t="str">
        <f>"Food Allergens Testing: Molecular, Immunochemical and Chromatographic Techniques"</f>
        <v>Food Allergens Testing: Molecular, Immunochemical and Chromatographic Techniques</v>
      </c>
      <c r="B2122" t="str">
        <f>"9781118519202"</f>
        <v>9781118519202</v>
      </c>
      <c r="C2122">
        <v>127.5</v>
      </c>
      <c r="D2122" t="str">
        <f>"USD"</f>
        <v>USD</v>
      </c>
      <c r="E2122" t="str">
        <f>"2014"</f>
        <v>2014</v>
      </c>
      <c r="F2122" t="str">
        <f>"Siragakis"</f>
        <v>Siragakis</v>
      </c>
      <c r="G2122" t="str">
        <f>"avanddanesh"</f>
        <v>avanddanesh</v>
      </c>
    </row>
    <row r="2123" spans="1:7" x14ac:dyDescent="0.25">
      <c r="A2123" t="str">
        <f>"Food Allergy"</f>
        <v>Food Allergy</v>
      </c>
      <c r="B2123" t="str">
        <f>"9781555813758"</f>
        <v>9781555813758</v>
      </c>
      <c r="C2123">
        <v>75</v>
      </c>
      <c r="D2123" t="str">
        <f>"USD"</f>
        <v>USD</v>
      </c>
      <c r="E2123" t="str">
        <f>"2006"</f>
        <v>2006</v>
      </c>
      <c r="F2123" t="str">
        <f>"Maleki"</f>
        <v>Maleki</v>
      </c>
      <c r="G2123" t="str">
        <f>"safirketab"</f>
        <v>safirketab</v>
      </c>
    </row>
    <row r="2124" spans="1:7" x14ac:dyDescent="0.25">
      <c r="A2124" t="str">
        <f>"Food Analysis Laboratory Manual. 3/ed"</f>
        <v>Food Analysis Laboratory Manual. 3/ed</v>
      </c>
      <c r="B2124" t="str">
        <f>"9783319441252"</f>
        <v>9783319441252</v>
      </c>
      <c r="C2124">
        <v>58.49</v>
      </c>
      <c r="D2124" t="str">
        <f>"EUR"</f>
        <v>EUR</v>
      </c>
      <c r="E2124" t="str">
        <f>"2017"</f>
        <v>2017</v>
      </c>
      <c r="F2124" t="str">
        <f>"Nielsen"</f>
        <v>Nielsen</v>
      </c>
      <c r="G2124" t="str">
        <f>"negarestanabi"</f>
        <v>negarestanabi</v>
      </c>
    </row>
    <row r="2125" spans="1:7" x14ac:dyDescent="0.25">
      <c r="A2125" t="str">
        <f>"Food Analysis. 5/ed"</f>
        <v>Food Analysis. 5/ed</v>
      </c>
      <c r="B2125" t="str">
        <f>"9783319457741"</f>
        <v>9783319457741</v>
      </c>
      <c r="C2125">
        <v>78.290000000000006</v>
      </c>
      <c r="D2125" t="str">
        <f>"EUR"</f>
        <v>EUR</v>
      </c>
      <c r="E2125" t="str">
        <f>"2017"</f>
        <v>2017</v>
      </c>
      <c r="F2125" t="str">
        <f>"Nielsen"</f>
        <v>Nielsen</v>
      </c>
      <c r="G2125" t="str">
        <f>"negarestanabi"</f>
        <v>negarestanabi</v>
      </c>
    </row>
    <row r="2126" spans="1:7" x14ac:dyDescent="0.25">
      <c r="A2126" t="str">
        <f>"Food and Agricultural Wastewater Utilization and Treatment,2e"</f>
        <v>Food and Agricultural Wastewater Utilization and Treatment,2e</v>
      </c>
      <c r="B2126" t="str">
        <f>"9781118353974"</f>
        <v>9781118353974</v>
      </c>
      <c r="C2126">
        <v>123.8</v>
      </c>
      <c r="D2126" t="str">
        <f t="shared" ref="D2126:D2131" si="142">"USD"</f>
        <v>USD</v>
      </c>
      <c r="E2126" t="str">
        <f>"2014"</f>
        <v>2014</v>
      </c>
      <c r="F2126" t="str">
        <f>"Liu"</f>
        <v>Liu</v>
      </c>
      <c r="G2126" t="str">
        <f>"avanddanesh"</f>
        <v>avanddanesh</v>
      </c>
    </row>
    <row r="2127" spans="1:7" x14ac:dyDescent="0.25">
      <c r="A2127" t="str">
        <f>"Food and Beverage Packaging Technology,2e"</f>
        <v>Food and Beverage Packaging Technology,2e</v>
      </c>
      <c r="B2127" t="str">
        <f>"9781405189101"</f>
        <v>9781405189101</v>
      </c>
      <c r="C2127">
        <v>76</v>
      </c>
      <c r="D2127" t="str">
        <f t="shared" si="142"/>
        <v>USD</v>
      </c>
      <c r="E2127" t="str">
        <f>"2011"</f>
        <v>2011</v>
      </c>
      <c r="F2127" t="str">
        <f>"Coles"</f>
        <v>Coles</v>
      </c>
      <c r="G2127" t="str">
        <f>"avanddanesh"</f>
        <v>avanddanesh</v>
      </c>
    </row>
    <row r="2128" spans="1:7" x14ac:dyDescent="0.25">
      <c r="A2128" t="str">
        <f>"Food and Drink - Good Manufacturing Practice: A Guide to its Responsible Management (GMP6),6e"</f>
        <v>Food and Drink - Good Manufacturing Practice: A Guide to its Responsible Management (GMP6),6e</v>
      </c>
      <c r="B2128" t="str">
        <f>"9781118318201"</f>
        <v>9781118318201</v>
      </c>
      <c r="C2128">
        <v>84.5</v>
      </c>
      <c r="D2128" t="str">
        <f t="shared" si="142"/>
        <v>USD</v>
      </c>
      <c r="E2128" t="str">
        <f>"2013"</f>
        <v>2013</v>
      </c>
      <c r="F2128" t="str">
        <f>"IFST"</f>
        <v>IFST</v>
      </c>
      <c r="G2128" t="str">
        <f>"avanddanesh"</f>
        <v>avanddanesh</v>
      </c>
    </row>
    <row r="2129" spans="1:7" x14ac:dyDescent="0.25">
      <c r="A2129" t="str">
        <f>"FOOD AND NUTRIENTS IN DISEASE MANAGEMENT"</f>
        <v>FOOD AND NUTRIENTS IN DISEASE MANAGEMENT</v>
      </c>
      <c r="B2129" t="str">
        <f>"9781420067620"</f>
        <v>9781420067620</v>
      </c>
      <c r="C2129">
        <v>113.47</v>
      </c>
      <c r="D2129" t="str">
        <f t="shared" si="142"/>
        <v>USD</v>
      </c>
      <c r="E2129" t="str">
        <f>"2009"</f>
        <v>2009</v>
      </c>
      <c r="F2129" t="str">
        <f>"INGRID KOHLSTADT"</f>
        <v>INGRID KOHLSTADT</v>
      </c>
      <c r="G2129" t="str">
        <f>"safirketab"</f>
        <v>safirketab</v>
      </c>
    </row>
    <row r="2130" spans="1:7" x14ac:dyDescent="0.25">
      <c r="A2130" t="str">
        <f>"Food and Package Engineering"</f>
        <v>Food and Package Engineering</v>
      </c>
      <c r="B2130" t="str">
        <f>"9780813814797"</f>
        <v>9780813814797</v>
      </c>
      <c r="C2130">
        <v>92.4</v>
      </c>
      <c r="D2130" t="str">
        <f t="shared" si="142"/>
        <v>USD</v>
      </c>
      <c r="E2130" t="str">
        <f>"2011"</f>
        <v>2011</v>
      </c>
      <c r="F2130" t="str">
        <f>"Morris"</f>
        <v>Morris</v>
      </c>
      <c r="G2130" t="str">
        <f>"avanddanesh"</f>
        <v>avanddanesh</v>
      </c>
    </row>
    <row r="2131" spans="1:7" x14ac:dyDescent="0.25">
      <c r="A2131" t="str">
        <f>"Food Authentication: Management, Analysis and Regulation"</f>
        <v>Food Authentication: Management, Analysis and Regulation</v>
      </c>
      <c r="B2131" t="str">
        <f>"9781118810262"</f>
        <v>9781118810262</v>
      </c>
      <c r="C2131">
        <v>171</v>
      </c>
      <c r="D2131" t="str">
        <f t="shared" si="142"/>
        <v>USD</v>
      </c>
      <c r="E2131" t="str">
        <f>"2017"</f>
        <v>2017</v>
      </c>
      <c r="F2131" t="str">
        <f>"Georgiou"</f>
        <v>Georgiou</v>
      </c>
      <c r="G2131" t="str">
        <f>"avanddanesh"</f>
        <v>avanddanesh</v>
      </c>
    </row>
    <row r="2132" spans="1:7" x14ac:dyDescent="0.25">
      <c r="A2132" t="str">
        <f>"Food Bioactives: Extraction and Biotechnology Applications"</f>
        <v>Food Bioactives: Extraction and Biotechnology Applications</v>
      </c>
      <c r="B2132" t="str">
        <f>"9783319516370"</f>
        <v>9783319516370</v>
      </c>
      <c r="C2132">
        <v>125.99</v>
      </c>
      <c r="D2132" t="str">
        <f>"EUR"</f>
        <v>EUR</v>
      </c>
      <c r="E2132" t="str">
        <f>"2017"</f>
        <v>2017</v>
      </c>
      <c r="F2132" t="str">
        <f>"Puri"</f>
        <v>Puri</v>
      </c>
      <c r="G2132" t="str">
        <f>"negarestanabi"</f>
        <v>negarestanabi</v>
      </c>
    </row>
    <row r="2133" spans="1:7" x14ac:dyDescent="0.25">
      <c r="A2133" t="str">
        <f>"Food Biochemistry and Food Processing,2e"</f>
        <v>Food Biochemistry and Food Processing,2e</v>
      </c>
      <c r="B2133" t="str">
        <f>"9780813808741"</f>
        <v>9780813808741</v>
      </c>
      <c r="C2133">
        <v>197.4</v>
      </c>
      <c r="D2133" t="str">
        <f>"USD"</f>
        <v>USD</v>
      </c>
      <c r="E2133" t="str">
        <f>"2012"</f>
        <v>2012</v>
      </c>
      <c r="F2133" t="str">
        <f>"Simpson"</f>
        <v>Simpson</v>
      </c>
      <c r="G2133" t="str">
        <f>"avanddanesh"</f>
        <v>avanddanesh</v>
      </c>
    </row>
    <row r="2134" spans="1:7" x14ac:dyDescent="0.25">
      <c r="A2134" t="str">
        <f>"Food Borne Pathogens and Antibiotic Resistance"</f>
        <v>Food Borne Pathogens and Antibiotic Resistance</v>
      </c>
      <c r="B2134" t="str">
        <f>"9781119139157"</f>
        <v>9781119139157</v>
      </c>
      <c r="C2134">
        <v>180</v>
      </c>
      <c r="D2134" t="str">
        <f>"USD"</f>
        <v>USD</v>
      </c>
      <c r="E2134" t="str">
        <f>"2017"</f>
        <v>2017</v>
      </c>
      <c r="F2134" t="str">
        <f>"Singh"</f>
        <v>Singh</v>
      </c>
      <c r="G2134" t="str">
        <f>"avanddanesh"</f>
        <v>avanddanesh</v>
      </c>
    </row>
    <row r="2135" spans="1:7" x14ac:dyDescent="0.25">
      <c r="A2135" t="str">
        <f>"Food By-Product Based Functional Food Powders (Nutraceuticals)"</f>
        <v>Food By-Product Based Functional Food Powders (Nutraceuticals)</v>
      </c>
      <c r="B2135" t="str">
        <f>"9781482224375"</f>
        <v>9781482224375</v>
      </c>
      <c r="C2135">
        <v>126</v>
      </c>
      <c r="D2135" t="str">
        <f>"GBP"</f>
        <v>GBP</v>
      </c>
      <c r="E2135" t="str">
        <f>"2018"</f>
        <v>2018</v>
      </c>
      <c r="F2135" t="str">
        <f>"Tokusoglu"</f>
        <v>Tokusoglu</v>
      </c>
      <c r="G2135" t="str">
        <f>"sal"</f>
        <v>sal</v>
      </c>
    </row>
    <row r="2136" spans="1:7" x14ac:dyDescent="0.25">
      <c r="A2136" t="str">
        <f>"Food Carotenoids: Chemistry, Biology and Technology"</f>
        <v>Food Carotenoids: Chemistry, Biology and Technology</v>
      </c>
      <c r="B2136" t="str">
        <f>"9781118733301"</f>
        <v>9781118733301</v>
      </c>
      <c r="C2136">
        <v>160</v>
      </c>
      <c r="D2136" t="str">
        <f>"USD"</f>
        <v>USD</v>
      </c>
      <c r="E2136" t="str">
        <f>"2015"</f>
        <v>2015</v>
      </c>
      <c r="F2136" t="str">
        <f>"Rodriguez-Amaya"</f>
        <v>Rodriguez-Amaya</v>
      </c>
      <c r="G2136" t="str">
        <f>"avanddanesh"</f>
        <v>avanddanesh</v>
      </c>
    </row>
    <row r="2137" spans="1:7" x14ac:dyDescent="0.25">
      <c r="A2137" t="str">
        <f>"Food Chemical Hazard Detection: Development and Application of New Technologies"</f>
        <v>Food Chemical Hazard Detection: Development and Application of New Technologies</v>
      </c>
      <c r="B2137" t="str">
        <f>"9781118488591"</f>
        <v>9781118488591</v>
      </c>
      <c r="C2137">
        <v>123.8</v>
      </c>
      <c r="D2137" t="str">
        <f>"USD"</f>
        <v>USD</v>
      </c>
      <c r="E2137" t="str">
        <f>"2014"</f>
        <v>2014</v>
      </c>
      <c r="F2137" t="str">
        <f>"Wang"</f>
        <v>Wang</v>
      </c>
      <c r="G2137" t="str">
        <f>"avanddanesh"</f>
        <v>avanddanesh</v>
      </c>
    </row>
    <row r="2138" spans="1:7" x14ac:dyDescent="0.25">
      <c r="A2138" t="str">
        <f>"Food Control and Biosecurity, Volume16"</f>
        <v>Food Control and Biosecurity, Volume16</v>
      </c>
      <c r="B2138" t="str">
        <f>"9780128114445"</f>
        <v>9780128114445</v>
      </c>
      <c r="C2138">
        <v>135</v>
      </c>
      <c r="D2138" t="str">
        <f>"USD"</f>
        <v>USD</v>
      </c>
      <c r="E2138" t="str">
        <f>"2018"</f>
        <v>2018</v>
      </c>
      <c r="F2138" t="str">
        <f>"Grumezescu and Holba"</f>
        <v>Grumezescu and Holba</v>
      </c>
      <c r="G2138" t="str">
        <f>"dehkadehketab"</f>
        <v>dehkadehketab</v>
      </c>
    </row>
    <row r="2139" spans="1:7" x14ac:dyDescent="0.25">
      <c r="A2139" t="str">
        <f>"Food Engineering: Emerging Issues, Modeling, and Applications (Innovations in Agricultural &amp; Biological Engineering)"</f>
        <v>Food Engineering: Emerging Issues, Modeling, and Applications (Innovations in Agricultural &amp; Biological Engineering)</v>
      </c>
      <c r="B2139" t="str">
        <f>"9781771883689"</f>
        <v>9781771883689</v>
      </c>
      <c r="C2139">
        <v>84.15</v>
      </c>
      <c r="D2139" t="str">
        <f>"GBP"</f>
        <v>GBP</v>
      </c>
      <c r="E2139" t="str">
        <f>"2016"</f>
        <v>2016</v>
      </c>
      <c r="F2139" t="str">
        <f>"Murlidhar Meghwal(E"</f>
        <v>Murlidhar Meghwal(E</v>
      </c>
      <c r="G2139" t="str">
        <f>"AsarBartar"</f>
        <v>AsarBartar</v>
      </c>
    </row>
    <row r="2140" spans="1:7" x14ac:dyDescent="0.25">
      <c r="A2140" t="str">
        <f>"Food Ethics Education"</f>
        <v>Food Ethics Education</v>
      </c>
      <c r="B2140" t="str">
        <f>"9783319647364"</f>
        <v>9783319647364</v>
      </c>
      <c r="C2140">
        <v>71.989999999999995</v>
      </c>
      <c r="D2140" t="str">
        <f>"EUR"</f>
        <v>EUR</v>
      </c>
      <c r="E2140" t="str">
        <f>"2018"</f>
        <v>2018</v>
      </c>
      <c r="F2140" t="str">
        <f>"Costa"</f>
        <v>Costa</v>
      </c>
      <c r="G2140" t="str">
        <f>"negarestanabi"</f>
        <v>negarestanabi</v>
      </c>
    </row>
    <row r="2141" spans="1:7" x14ac:dyDescent="0.25">
      <c r="A2141" t="str">
        <f>"Food Fraud"</f>
        <v>Food Fraud</v>
      </c>
      <c r="B2141" t="str">
        <f>"9780128033937"</f>
        <v>9780128033937</v>
      </c>
      <c r="C2141">
        <v>27</v>
      </c>
      <c r="D2141" t="str">
        <f>"USD"</f>
        <v>USD</v>
      </c>
      <c r="E2141" t="str">
        <f>"2015"</f>
        <v>2015</v>
      </c>
      <c r="F2141" t="str">
        <f>"N/A*"</f>
        <v>N/A*</v>
      </c>
      <c r="G2141" t="str">
        <f>"dehkadehketab"</f>
        <v>dehkadehketab</v>
      </c>
    </row>
    <row r="2142" spans="1:7" x14ac:dyDescent="0.25">
      <c r="A2142" t="str">
        <f>"Food Hygiene and Applied Food Microbiology in an Anthropological Cross Cultural Perspective"</f>
        <v>Food Hygiene and Applied Food Microbiology in an Anthropological Cross Cultural Perspective</v>
      </c>
      <c r="B2142" t="str">
        <f>"9783319449739"</f>
        <v>9783319449739</v>
      </c>
      <c r="C2142">
        <v>89.99</v>
      </c>
      <c r="D2142" t="str">
        <f>"EUR"</f>
        <v>EUR</v>
      </c>
      <c r="E2142" t="str">
        <f>"2017"</f>
        <v>2017</v>
      </c>
      <c r="F2142" t="str">
        <f>"Zaccheo"</f>
        <v>Zaccheo</v>
      </c>
      <c r="G2142" t="str">
        <f>"negarestanabi"</f>
        <v>negarestanabi</v>
      </c>
    </row>
    <row r="2143" spans="1:7" x14ac:dyDescent="0.25">
      <c r="A2143" t="str">
        <f>"Food Hypersensitivity: Diagnosing and Managing Food Allergies and Intolerance "</f>
        <v xml:space="preserve">Food Hypersensitivity: Diagnosing and Managing Food Allergies and Intolerance </v>
      </c>
      <c r="B2143" t="str">
        <f>"9781405170369"</f>
        <v>9781405170369</v>
      </c>
      <c r="C2143">
        <v>28</v>
      </c>
      <c r="D2143" t="str">
        <f>"USD"</f>
        <v>USD</v>
      </c>
      <c r="E2143" t="str">
        <f>"2009"</f>
        <v>2009</v>
      </c>
      <c r="F2143" t="str">
        <f>"Skypala"</f>
        <v>Skypala</v>
      </c>
      <c r="G2143" t="str">
        <f>"safirketab"</f>
        <v>safirketab</v>
      </c>
    </row>
    <row r="2144" spans="1:7" x14ac:dyDescent="0.25">
      <c r="A2144" t="str">
        <f>"Food Hypersensitivity: Diagnosing and Managing Food Allergies and Intolerance"</f>
        <v>Food Hypersensitivity: Diagnosing and Managing Food Allergies and Intolerance</v>
      </c>
      <c r="B2144" t="str">
        <f>"9781405170369"</f>
        <v>9781405170369</v>
      </c>
      <c r="C2144">
        <v>28</v>
      </c>
      <c r="D2144" t="str">
        <f>"USD"</f>
        <v>USD</v>
      </c>
      <c r="E2144" t="str">
        <f>"2009"</f>
        <v>2009</v>
      </c>
      <c r="F2144" t="str">
        <f>"Skypala"</f>
        <v>Skypala</v>
      </c>
      <c r="G2144" t="str">
        <f>"avanddanesh"</f>
        <v>avanddanesh</v>
      </c>
    </row>
    <row r="2145" spans="1:7" x14ac:dyDescent="0.25">
      <c r="A2145" t="str">
        <f>"FOOD INDUSTRY QUALITY CONTROL SYSTEMS"</f>
        <v>FOOD INDUSTRY QUALITY CONTROL SYSTEMS</v>
      </c>
      <c r="B2145" t="str">
        <f>"9780849380280"</f>
        <v>9780849380280</v>
      </c>
      <c r="C2145">
        <v>113.47</v>
      </c>
      <c r="D2145" t="str">
        <f>"USD"</f>
        <v>USD</v>
      </c>
      <c r="E2145" t="str">
        <f>"2009"</f>
        <v>2009</v>
      </c>
      <c r="F2145" t="str">
        <f>"MARK CLUTE"</f>
        <v>MARK CLUTE</v>
      </c>
      <c r="G2145" t="str">
        <f>"safirketab"</f>
        <v>safirketab</v>
      </c>
    </row>
    <row r="2146" spans="1:7" x14ac:dyDescent="0.25">
      <c r="A2146" t="str">
        <f>"Food Industry Wastes, Assessment and Recuperation of Commodities"</f>
        <v>Food Industry Wastes, Assessment and Recuperation of Commodities</v>
      </c>
      <c r="B2146" t="str">
        <f>"9780128102534"</f>
        <v>9780128102534</v>
      </c>
      <c r="C2146">
        <v>116.95</v>
      </c>
      <c r="D2146" t="str">
        <f>"USD"</f>
        <v>USD</v>
      </c>
      <c r="E2146" t="str">
        <f>"2017"</f>
        <v>2017</v>
      </c>
      <c r="F2146" t="str">
        <f>"Kosseva and Webb"</f>
        <v>Kosseva and Webb</v>
      </c>
      <c r="G2146" t="str">
        <f>"dehkadehketab"</f>
        <v>dehkadehketab</v>
      </c>
    </row>
    <row r="2147" spans="1:7" x14ac:dyDescent="0.25">
      <c r="A2147" t="str">
        <f>"Food Lipids: Chemistry, Nutrition, and Biotechnology, Fourth Edition (Food Science and Technology)"</f>
        <v>Food Lipids: Chemistry, Nutrition, and Biotechnology, Fourth Edition (Food Science and Technology)</v>
      </c>
      <c r="B2147" t="str">
        <f>"9781498744850"</f>
        <v>9781498744850</v>
      </c>
      <c r="C2147">
        <v>154.80000000000001</v>
      </c>
      <c r="D2147" t="str">
        <f>"GBP"</f>
        <v>GBP</v>
      </c>
      <c r="E2147" t="str">
        <f>"2017"</f>
        <v>2017</v>
      </c>
      <c r="F2147" t="str">
        <f>"Casimir C. Akoh(Edi"</f>
        <v>Casimir C. Akoh(Edi</v>
      </c>
      <c r="G2147" t="str">
        <f>"AsarBartar"</f>
        <v>AsarBartar</v>
      </c>
    </row>
    <row r="2148" spans="1:7" x14ac:dyDescent="0.25">
      <c r="A2148" t="str">
        <f>"Food Literacy: Key concepts for health and education (Routledge Studies in Food, Society and the Environment)"</f>
        <v>Food Literacy: Key concepts for health and education (Routledge Studies in Food, Society and the Environment)</v>
      </c>
      <c r="B2148" t="str">
        <f>"9781138898523"</f>
        <v>9781138898523</v>
      </c>
      <c r="C2148">
        <v>23.8</v>
      </c>
      <c r="D2148" t="str">
        <f>"GBP"</f>
        <v>GBP</v>
      </c>
      <c r="E2148" t="str">
        <f>"2016"</f>
        <v>2016</v>
      </c>
      <c r="F2148" t="str">
        <f>"Helen Vidgen(Editor"</f>
        <v>Helen Vidgen(Editor</v>
      </c>
      <c r="G2148" t="str">
        <f>"AsarBartar"</f>
        <v>AsarBartar</v>
      </c>
    </row>
    <row r="2149" spans="1:7" x14ac:dyDescent="0.25">
      <c r="A2149" t="str">
        <f>"Food Materials Science and Engineering"</f>
        <v>Food Materials Science and Engineering</v>
      </c>
      <c r="B2149" t="str">
        <f>"9781405199223"</f>
        <v>9781405199223</v>
      </c>
      <c r="C2149">
        <v>105</v>
      </c>
      <c r="D2149" t="str">
        <f>"USD"</f>
        <v>USD</v>
      </c>
      <c r="E2149" t="str">
        <f>"2012"</f>
        <v>2012</v>
      </c>
      <c r="F2149" t="str">
        <f>"Bhandari"</f>
        <v>Bhandari</v>
      </c>
      <c r="G2149" t="str">
        <f>"avanddanesh"</f>
        <v>avanddanesh</v>
      </c>
    </row>
    <row r="2150" spans="1:7" x14ac:dyDescent="0.25">
      <c r="A2150" t="str">
        <f>"Food Microbiology "</f>
        <v xml:space="preserve">Food Microbiology </v>
      </c>
      <c r="B2150" t="str">
        <f>"9788123928296"</f>
        <v>9788123928296</v>
      </c>
      <c r="C2150">
        <v>17.100000000000001</v>
      </c>
      <c r="D2150" t="str">
        <f>"USD"</f>
        <v>USD</v>
      </c>
      <c r="E2150" t="str">
        <f>"2015"</f>
        <v>2015</v>
      </c>
      <c r="F2150" t="str">
        <f>"Foster"</f>
        <v>Foster</v>
      </c>
      <c r="G2150" t="str">
        <f>"jahanadib"</f>
        <v>jahanadib</v>
      </c>
    </row>
    <row r="2151" spans="1:7" x14ac:dyDescent="0.25">
      <c r="A2151" t="str">
        <f>"Food Microbiology "</f>
        <v xml:space="preserve">Food Microbiology </v>
      </c>
      <c r="B2151" t="str">
        <f>"9788123928296"</f>
        <v>9788123928296</v>
      </c>
      <c r="C2151">
        <v>17.100000000000001</v>
      </c>
      <c r="D2151" t="str">
        <f>"USD"</f>
        <v>USD</v>
      </c>
      <c r="E2151" t="str">
        <f>"2015"</f>
        <v>2015</v>
      </c>
      <c r="F2151" t="str">
        <f>"Foster"</f>
        <v>Foster</v>
      </c>
      <c r="G2151" t="str">
        <f>"safirketab"</f>
        <v>safirketab</v>
      </c>
    </row>
    <row r="2152" spans="1:7" x14ac:dyDescent="0.25">
      <c r="A2152" t="str">
        <f>"Food Microbiology: In Human Health and Disease"</f>
        <v>Food Microbiology: In Human Health and Disease</v>
      </c>
      <c r="B2152" t="str">
        <f>"9781498708784"</f>
        <v>9781498708784</v>
      </c>
      <c r="C2152">
        <v>65.69</v>
      </c>
      <c r="D2152" t="str">
        <f>"GBP"</f>
        <v>GBP</v>
      </c>
      <c r="E2152" t="str">
        <f>"2016"</f>
        <v>2016</v>
      </c>
      <c r="F2152" t="str">
        <f>"KHARDORI"</f>
        <v>KHARDORI</v>
      </c>
      <c r="G2152" t="str">
        <f>"sal"</f>
        <v>sal</v>
      </c>
    </row>
    <row r="2153" spans="1:7" x14ac:dyDescent="0.25">
      <c r="A2153" t="str">
        <f>"Food Microstructure and Its Relationship with Quality and Stability"</f>
        <v>Food Microstructure and Its Relationship with Quality and Stability</v>
      </c>
      <c r="B2153" t="str">
        <f>"9780081007631"</f>
        <v>9780081007631</v>
      </c>
      <c r="C2153">
        <v>180</v>
      </c>
      <c r="D2153" t="str">
        <f t="shared" ref="D2153:D2158" si="143">"USD"</f>
        <v>USD</v>
      </c>
      <c r="E2153" t="str">
        <f>"2017"</f>
        <v>2017</v>
      </c>
      <c r="F2153" t="str">
        <f>"Devahastin"</f>
        <v>Devahastin</v>
      </c>
      <c r="G2153" t="str">
        <f>"dehkadehketab"</f>
        <v>dehkadehketab</v>
      </c>
    </row>
    <row r="2154" spans="1:7" x14ac:dyDescent="0.25">
      <c r="A2154" t="str">
        <f>"Food Microstructures, Microscopy, Measurement and Modelling"</f>
        <v>Food Microstructures, Microscopy, Measurement and Modelling</v>
      </c>
      <c r="B2154" t="str">
        <f>"9780081014233"</f>
        <v>9780081014233</v>
      </c>
      <c r="C2154">
        <v>238.5</v>
      </c>
      <c r="D2154" t="str">
        <f t="shared" si="143"/>
        <v>USD</v>
      </c>
      <c r="E2154" t="str">
        <f>"2017"</f>
        <v>2017</v>
      </c>
      <c r="F2154" t="str">
        <f>"Morris and Groves"</f>
        <v>Morris and Groves</v>
      </c>
      <c r="G2154" t="str">
        <f>"dehkadehketab"</f>
        <v>dehkadehketab</v>
      </c>
    </row>
    <row r="2155" spans="1:7" x14ac:dyDescent="0.25">
      <c r="A2155" t="str">
        <f>"Food Mixing:Principles and Applications"</f>
        <v>Food Mixing:Principles and Applications</v>
      </c>
      <c r="B2155" t="str">
        <f>"9781405177542"</f>
        <v>9781405177542</v>
      </c>
      <c r="C2155">
        <v>163.80000000000001</v>
      </c>
      <c r="D2155" t="str">
        <f t="shared" si="143"/>
        <v>USD</v>
      </c>
      <c r="E2155" t="str">
        <f>"2009"</f>
        <v>2009</v>
      </c>
      <c r="F2155" t="str">
        <f>"Cullen"</f>
        <v>Cullen</v>
      </c>
      <c r="G2155" t="str">
        <f>"safirketab"</f>
        <v>safirketab</v>
      </c>
    </row>
    <row r="2156" spans="1:7" x14ac:dyDescent="0.25">
      <c r="A2156" t="str">
        <f>"Food Neophobia, Behavioral and Biological Influences"</f>
        <v>Food Neophobia, Behavioral and Biological Influences</v>
      </c>
      <c r="B2156" t="str">
        <f>"9780081019283"</f>
        <v>9780081019283</v>
      </c>
      <c r="C2156">
        <v>225</v>
      </c>
      <c r="D2156" t="str">
        <f t="shared" si="143"/>
        <v>USD</v>
      </c>
      <c r="E2156" t="str">
        <f>"2018"</f>
        <v>2018</v>
      </c>
      <c r="F2156" t="str">
        <f>"Reilly"</f>
        <v>Reilly</v>
      </c>
      <c r="G2156" t="str">
        <f>"dehkadehketab"</f>
        <v>dehkadehketab</v>
      </c>
    </row>
    <row r="2157" spans="1:7" x14ac:dyDescent="0.25">
      <c r="A2157" t="str">
        <f>"Food Oligosaccharides: Production, Analysis and Bioactivity"</f>
        <v>Food Oligosaccharides: Production, Analysis and Bioactivity</v>
      </c>
      <c r="B2157" t="str">
        <f>"9781118426494"</f>
        <v>9781118426494</v>
      </c>
      <c r="C2157">
        <v>177.7</v>
      </c>
      <c r="D2157" t="str">
        <f t="shared" si="143"/>
        <v>USD</v>
      </c>
      <c r="E2157" t="str">
        <f>"2014"</f>
        <v>2014</v>
      </c>
      <c r="F2157" t="str">
        <f>"Moreno"</f>
        <v>Moreno</v>
      </c>
      <c r="G2157" t="str">
        <f>"avanddanesh"</f>
        <v>avanddanesh</v>
      </c>
    </row>
    <row r="2158" spans="1:7" x14ac:dyDescent="0.25">
      <c r="A2158" t="str">
        <f>"FOOD PACKAGING, HB,    'BEST-SELLER'"</f>
        <v>FOOD PACKAGING, HB,    'BEST-SELLER'</v>
      </c>
      <c r="B2158" t="str">
        <f>"9788170355427"</f>
        <v>9788170355427</v>
      </c>
      <c r="C2158">
        <v>17.5</v>
      </c>
      <c r="D2158" t="str">
        <f t="shared" si="143"/>
        <v>USD</v>
      </c>
      <c r="E2158" t="str">
        <f>"2012"</f>
        <v>2012</v>
      </c>
      <c r="F2158" t="str">
        <f>"Khetarpaul"</f>
        <v>Khetarpaul</v>
      </c>
      <c r="G2158" t="str">
        <f>"supply"</f>
        <v>supply</v>
      </c>
    </row>
    <row r="2159" spans="1:7" x14ac:dyDescent="0.25">
      <c r="A2159" t="str">
        <f>"Food Policy: Looking Forward from the Past"</f>
        <v>Food Policy: Looking Forward from the Past</v>
      </c>
      <c r="B2159" t="str">
        <f>"9781439880241"</f>
        <v>9781439880241</v>
      </c>
      <c r="C2159">
        <v>45.05</v>
      </c>
      <c r="D2159" t="str">
        <f>"GBP"</f>
        <v>GBP</v>
      </c>
      <c r="E2159" t="str">
        <f>"2016"</f>
        <v>2016</v>
      </c>
      <c r="F2159" t="str">
        <f>"ARLENE SPARK"</f>
        <v>ARLENE SPARK</v>
      </c>
      <c r="G2159" t="str">
        <f>"AsarBartar"</f>
        <v>AsarBartar</v>
      </c>
    </row>
    <row r="2160" spans="1:7" x14ac:dyDescent="0.25">
      <c r="A2160" t="str">
        <f>"Food Preservation and Biodeterioration,2e"</f>
        <v>Food Preservation and Biodeterioration,2e</v>
      </c>
      <c r="B2160" t="str">
        <f>"9781118904626"</f>
        <v>9781118904626</v>
      </c>
      <c r="C2160">
        <v>140.30000000000001</v>
      </c>
      <c r="D2160" t="str">
        <f>"USD"</f>
        <v>USD</v>
      </c>
      <c r="E2160" t="str">
        <f>"2016"</f>
        <v>2016</v>
      </c>
      <c r="F2160" t="str">
        <f>"Tucker"</f>
        <v>Tucker</v>
      </c>
      <c r="G2160" t="str">
        <f>"avanddanesh"</f>
        <v>avanddanesh</v>
      </c>
    </row>
    <row r="2161" spans="1:7" x14ac:dyDescent="0.25">
      <c r="A2161" t="str">
        <f>"Food Preservation Process Design"</f>
        <v>Food Preservation Process Design</v>
      </c>
      <c r="B2161" t="str">
        <f>"9780128103777"</f>
        <v>9780128103777</v>
      </c>
      <c r="C2161">
        <v>118.8</v>
      </c>
      <c r="D2161" t="str">
        <f>"USD"</f>
        <v>USD</v>
      </c>
      <c r="E2161" t="str">
        <f>"2017"</f>
        <v>2017</v>
      </c>
      <c r="F2161" t="str">
        <f>"Heldman"</f>
        <v>Heldman</v>
      </c>
      <c r="G2161" t="str">
        <f>"dehkadehketab"</f>
        <v>dehkadehketab</v>
      </c>
    </row>
    <row r="2162" spans="1:7" x14ac:dyDescent="0.25">
      <c r="A2162" t="str">
        <f>"FOOD PRESERVATION, HB"</f>
        <v>FOOD PRESERVATION, HB</v>
      </c>
      <c r="B2162" t="str">
        <f>"9789380179124"</f>
        <v>9789380179124</v>
      </c>
      <c r="C2162">
        <v>23.8</v>
      </c>
      <c r="D2162" t="str">
        <f>"USD"</f>
        <v>USD</v>
      </c>
      <c r="E2162" t="str">
        <f>"2010"</f>
        <v>2010</v>
      </c>
      <c r="F2162" t="str">
        <f>"Ramaswamy"</f>
        <v>Ramaswamy</v>
      </c>
      <c r="G2162" t="str">
        <f>"supply"</f>
        <v>supply</v>
      </c>
    </row>
    <row r="2163" spans="1:7" x14ac:dyDescent="0.25">
      <c r="A2163" t="str">
        <f>"Food Process Engineering and Technology, 2nd Edition"</f>
        <v>Food Process Engineering and Technology, 2nd Edition</v>
      </c>
      <c r="B2163" t="str">
        <f>"9780128100554"</f>
        <v>9780128100554</v>
      </c>
      <c r="C2163">
        <v>134.94999999999999</v>
      </c>
      <c r="D2163" t="str">
        <f>"USD"</f>
        <v>USD</v>
      </c>
      <c r="E2163" t="str">
        <f>"2017"</f>
        <v>2017</v>
      </c>
      <c r="F2163" t="str">
        <f>"Berk"</f>
        <v>Berk</v>
      </c>
      <c r="G2163" t="str">
        <f>"dehkadehketab"</f>
        <v>dehkadehketab</v>
      </c>
    </row>
    <row r="2164" spans="1:7" x14ac:dyDescent="0.25">
      <c r="A2164" t="str">
        <f>"Food Process Engineering and Technology, 3rd Edition"</f>
        <v>Food Process Engineering and Technology, 3rd Edition</v>
      </c>
      <c r="B2164" t="str">
        <f>"9780128120095"</f>
        <v>9780128120095</v>
      </c>
      <c r="C2164">
        <v>180</v>
      </c>
      <c r="D2164" t="str">
        <f>"USD"</f>
        <v>USD</v>
      </c>
      <c r="E2164" t="str">
        <f>"2018"</f>
        <v>2018</v>
      </c>
      <c r="F2164" t="str">
        <f>"Berk"</f>
        <v>Berk</v>
      </c>
      <c r="G2164" t="str">
        <f>"dehkadehketab"</f>
        <v>dehkadehketab</v>
      </c>
    </row>
    <row r="2165" spans="1:7" x14ac:dyDescent="0.25">
      <c r="A2165" t="str">
        <f>"Food Process Engineering: Emerging Trends in Research and Their Applications (Innovations in Agricultural &amp; Biological Engineering)"</f>
        <v>Food Process Engineering: Emerging Trends in Research and Their Applications (Innovations in Agricultural &amp; Biological Engineering)</v>
      </c>
      <c r="B2165" t="str">
        <f>"9781771884020"</f>
        <v>9781771884020</v>
      </c>
      <c r="C2165">
        <v>80.75</v>
      </c>
      <c r="D2165" t="str">
        <f>"GBP"</f>
        <v>GBP</v>
      </c>
      <c r="E2165" t="str">
        <f>"2016"</f>
        <v>2016</v>
      </c>
      <c r="F2165" t="str">
        <f>"Murlidhar Meghwal(E"</f>
        <v>Murlidhar Meghwal(E</v>
      </c>
      <c r="G2165" t="str">
        <f>"AsarBartar"</f>
        <v>AsarBartar</v>
      </c>
    </row>
    <row r="2166" spans="1:7" x14ac:dyDescent="0.25">
      <c r="A2166" t="str">
        <f>"Food Processing and Preservation"</f>
        <v>Food Processing and Preservation</v>
      </c>
      <c r="B2166" t="str">
        <f>"9788120320864"</f>
        <v>9788120320864</v>
      </c>
      <c r="C2166">
        <v>7.65</v>
      </c>
      <c r="D2166" t="str">
        <f t="shared" ref="D2166:D2171" si="144">"USD"</f>
        <v>USD</v>
      </c>
      <c r="E2166" t="str">
        <f>"2016"</f>
        <v>2016</v>
      </c>
      <c r="F2166" t="str">
        <f>"Sivasankar"</f>
        <v>Sivasankar</v>
      </c>
      <c r="G2166" t="str">
        <f>"safirketab"</f>
        <v>safirketab</v>
      </c>
    </row>
    <row r="2167" spans="1:7" x14ac:dyDescent="0.25">
      <c r="A2167" t="str">
        <f>"Food Processing and Preservation"</f>
        <v>Food Processing and Preservation</v>
      </c>
      <c r="B2167" t="str">
        <f>"9788120320864"</f>
        <v>9788120320864</v>
      </c>
      <c r="C2167">
        <v>7.65</v>
      </c>
      <c r="D2167" t="str">
        <f t="shared" si="144"/>
        <v>USD</v>
      </c>
      <c r="E2167" t="str">
        <f>"2016"</f>
        <v>2016</v>
      </c>
      <c r="F2167" t="str">
        <f>"Sivasankar"</f>
        <v>Sivasankar</v>
      </c>
      <c r="G2167" t="str">
        <f>"jahanadib"</f>
        <v>jahanadib</v>
      </c>
    </row>
    <row r="2168" spans="1:7" x14ac:dyDescent="0.25">
      <c r="A2168" t="str">
        <f>"Food Processing By-Products and their Utilization"</f>
        <v>Food Processing By-Products and their Utilization</v>
      </c>
      <c r="B2168" t="str">
        <f>"9781118432884"</f>
        <v>9781118432884</v>
      </c>
      <c r="C2168">
        <v>171</v>
      </c>
      <c r="D2168" t="str">
        <f t="shared" si="144"/>
        <v>USD</v>
      </c>
      <c r="E2168" t="str">
        <f>"2017"</f>
        <v>2017</v>
      </c>
      <c r="F2168" t="str">
        <f>"Anal"</f>
        <v>Anal</v>
      </c>
      <c r="G2168" t="str">
        <f>"avanddanesh"</f>
        <v>avanddanesh</v>
      </c>
    </row>
    <row r="2169" spans="1:7" x14ac:dyDescent="0.25">
      <c r="A2169" t="str">
        <f>"Food Processing for Increased Quality and Consumption, Volume18"</f>
        <v>Food Processing for Increased Quality and Consumption, Volume18</v>
      </c>
      <c r="B2169" t="str">
        <f>"9780128114469"</f>
        <v>9780128114469</v>
      </c>
      <c r="C2169">
        <v>135</v>
      </c>
      <c r="D2169" t="str">
        <f t="shared" si="144"/>
        <v>USD</v>
      </c>
      <c r="E2169" t="str">
        <f>"2018"</f>
        <v>2018</v>
      </c>
      <c r="F2169" t="str">
        <f>"Grumezescu and Holba"</f>
        <v>Grumezescu and Holba</v>
      </c>
      <c r="G2169" t="str">
        <f>"dehkadehketab"</f>
        <v>dehkadehketab</v>
      </c>
    </row>
    <row r="2170" spans="1:7" x14ac:dyDescent="0.25">
      <c r="A2170" t="str">
        <f>"Food Processing Handbook"</f>
        <v>Food Processing Handbook</v>
      </c>
      <c r="B2170" t="str">
        <f>"9783527307197"</f>
        <v>9783527307197</v>
      </c>
      <c r="C2170">
        <v>102</v>
      </c>
      <c r="D2170" t="str">
        <f t="shared" si="144"/>
        <v>USD</v>
      </c>
      <c r="E2170" t="str">
        <f>"2005"</f>
        <v>2005</v>
      </c>
      <c r="F2170" t="str">
        <f>"Brennan"</f>
        <v>Brennan</v>
      </c>
      <c r="G2170" t="str">
        <f>"avanddanesh"</f>
        <v>avanddanesh</v>
      </c>
    </row>
    <row r="2171" spans="1:7" x14ac:dyDescent="0.25">
      <c r="A2171" t="str">
        <f>"Food Processing Handbook,2e, 2V Set"</f>
        <v>Food Processing Handbook,2e, 2V Set</v>
      </c>
      <c r="B2171" t="str">
        <f>"9783527324682"</f>
        <v>9783527324682</v>
      </c>
      <c r="C2171">
        <v>146.80000000000001</v>
      </c>
      <c r="D2171" t="str">
        <f t="shared" si="144"/>
        <v>USD</v>
      </c>
      <c r="E2171" t="str">
        <f>"2011"</f>
        <v>2011</v>
      </c>
      <c r="F2171" t="str">
        <f>"Brennan"</f>
        <v>Brennan</v>
      </c>
      <c r="G2171" t="str">
        <f>"avanddanesh"</f>
        <v>avanddanesh</v>
      </c>
    </row>
    <row r="2172" spans="1:7" x14ac:dyDescent="0.25">
      <c r="A2172" t="str">
        <f>"Food Processing Technologies: Impact on Product Attributes"</f>
        <v>Food Processing Technologies: Impact on Product Attributes</v>
      </c>
      <c r="B2172" t="str">
        <f>"9781482257540"</f>
        <v>9781482257540</v>
      </c>
      <c r="C2172">
        <v>140.25</v>
      </c>
      <c r="D2172" t="str">
        <f>"GBP"</f>
        <v>GBP</v>
      </c>
      <c r="E2172" t="str">
        <f>"2016"</f>
        <v>2016</v>
      </c>
      <c r="F2172" t="str">
        <f>"Amit K. Jaiswal(Edi"</f>
        <v>Amit K. Jaiswal(Edi</v>
      </c>
      <c r="G2172" t="str">
        <f>"AsarBartar"</f>
        <v>AsarBartar</v>
      </c>
    </row>
    <row r="2173" spans="1:7" x14ac:dyDescent="0.25">
      <c r="A2173" t="str">
        <f>"Food Processing Technology: Principles and Practice, 3/e"</f>
        <v>Food Processing Technology: Principles and Practice, 3/e</v>
      </c>
      <c r="B2173" t="str">
        <f>"9789351073147"</f>
        <v>9789351073147</v>
      </c>
      <c r="C2173">
        <v>49.5</v>
      </c>
      <c r="D2173" t="str">
        <f>"USD"</f>
        <v>USD</v>
      </c>
      <c r="E2173" t="str">
        <f>"2015"</f>
        <v>2015</v>
      </c>
      <c r="F2173" t="str">
        <f>"Fellows"</f>
        <v>Fellows</v>
      </c>
      <c r="G2173" t="str">
        <f>"jahanadib"</f>
        <v>jahanadib</v>
      </c>
    </row>
    <row r="2174" spans="1:7" x14ac:dyDescent="0.25">
      <c r="A2174" t="str">
        <f>"Food Processing, Management and Nanotechnology"</f>
        <v>Food Processing, Management and Nanotechnology</v>
      </c>
      <c r="B2174" t="str">
        <f>"9789350567968"</f>
        <v>9789350567968</v>
      </c>
      <c r="C2174">
        <v>43.35</v>
      </c>
      <c r="D2174" t="str">
        <f>"USD"</f>
        <v>USD</v>
      </c>
      <c r="E2174" t="str">
        <f>"2016"</f>
        <v>2016</v>
      </c>
      <c r="F2174" t="str">
        <f>"Chauhan"</f>
        <v>Chauhan</v>
      </c>
      <c r="G2174" t="str">
        <f>"jahanadib"</f>
        <v>jahanadib</v>
      </c>
    </row>
    <row r="2175" spans="1:7" x14ac:dyDescent="0.25">
      <c r="A2175" t="str">
        <f>"Food Processing: Principles and Applications,2e"</f>
        <v>Food Processing: Principles and Applications,2e</v>
      </c>
      <c r="B2175" t="str">
        <f>"9780470671146"</f>
        <v>9780470671146</v>
      </c>
      <c r="C2175">
        <v>123.8</v>
      </c>
      <c r="D2175" t="str">
        <f>"USD"</f>
        <v>USD</v>
      </c>
      <c r="E2175" t="str">
        <f>"2014"</f>
        <v>2014</v>
      </c>
      <c r="F2175" t="str">
        <f>"Clark"</f>
        <v>Clark</v>
      </c>
      <c r="G2175" t="str">
        <f>"avanddanesh"</f>
        <v>avanddanesh</v>
      </c>
    </row>
    <row r="2176" spans="1:7" x14ac:dyDescent="0.25">
      <c r="A2176" t="str">
        <f>"Food Production and Nature Conservation: Conflicts and Solutions (Earthscan Food and Agriculture)Â "</f>
        <v>Food Production and Nature Conservation: Conflicts and Solutions (Earthscan Food and Agriculture)Â </v>
      </c>
      <c r="B2176" t="str">
        <f>"9781138859395"</f>
        <v>9781138859395</v>
      </c>
      <c r="C2176">
        <v>31.45</v>
      </c>
      <c r="D2176" t="str">
        <f>"GBP"</f>
        <v>GBP</v>
      </c>
      <c r="E2176" t="str">
        <f>"2016"</f>
        <v>2016</v>
      </c>
      <c r="F2176" t="str">
        <f>"Iain J. Gordon(Edit"</f>
        <v>Iain J. Gordon(Edit</v>
      </c>
      <c r="G2176" t="str">
        <f>"AsarBartar"</f>
        <v>AsarBartar</v>
      </c>
    </row>
    <row r="2177" spans="1:7" x14ac:dyDescent="0.25">
      <c r="A2177" t="str">
        <f>"Food Quality,  HB,          'NEW'"</f>
        <v>Food Quality,  HB,          'NEW'</v>
      </c>
      <c r="B2177" t="str">
        <f>"9789535105602"</f>
        <v>9789535105602</v>
      </c>
      <c r="C2177">
        <v>63</v>
      </c>
      <c r="D2177" t="str">
        <f t="shared" ref="D2177:D2186" si="145">"USD"</f>
        <v>USD</v>
      </c>
      <c r="E2177" t="str">
        <f>"2014"</f>
        <v>2014</v>
      </c>
      <c r="F2177" t="str">
        <f>"Kapiris K."</f>
        <v>Kapiris K.</v>
      </c>
      <c r="G2177" t="str">
        <f>"supply"</f>
        <v>supply</v>
      </c>
    </row>
    <row r="2178" spans="1:7" x14ac:dyDescent="0.25">
      <c r="A2178" t="str">
        <f>"Food Quality: Balancing Health and Disease, Volume13"</f>
        <v>Food Quality: Balancing Health and Disease, Volume13</v>
      </c>
      <c r="B2178" t="str">
        <f>"9780128114414"</f>
        <v>9780128114414</v>
      </c>
      <c r="C2178">
        <v>135</v>
      </c>
      <c r="D2178" t="str">
        <f t="shared" si="145"/>
        <v>USD</v>
      </c>
      <c r="E2178" t="str">
        <f>"2018"</f>
        <v>2018</v>
      </c>
      <c r="F2178" t="str">
        <f>"Grumezescu and Holba"</f>
        <v>Grumezescu and Holba</v>
      </c>
      <c r="G2178" t="str">
        <f>"dehkadehketab"</f>
        <v>dehkadehketab</v>
      </c>
    </row>
    <row r="2179" spans="1:7" x14ac:dyDescent="0.25">
      <c r="A2179" t="str">
        <f>"Food Regulation: Law, Science, Policy, and Practice"</f>
        <v>Food Regulation: Law, Science, Policy, and Practice</v>
      </c>
      <c r="B2179" t="str">
        <f>"9780470127094"</f>
        <v>9780470127094</v>
      </c>
      <c r="C2179">
        <v>93.75</v>
      </c>
      <c r="D2179" t="str">
        <f t="shared" si="145"/>
        <v>USD</v>
      </c>
      <c r="E2179" t="str">
        <f>"2009"</f>
        <v>2009</v>
      </c>
      <c r="F2179" t="str">
        <f>"Fortin"</f>
        <v>Fortin</v>
      </c>
      <c r="G2179" t="str">
        <f>"safirketab"</f>
        <v>safirketab</v>
      </c>
    </row>
    <row r="2180" spans="1:7" x14ac:dyDescent="0.25">
      <c r="A2180" t="str">
        <f>"Food Regulation: Law, Science, Policy, and Practice,2e"</f>
        <v>Food Regulation: Law, Science, Policy, and Practice,2e</v>
      </c>
      <c r="B2180" t="str">
        <f>"9781118964477"</f>
        <v>9781118964477</v>
      </c>
      <c r="C2180">
        <v>127.5</v>
      </c>
      <c r="D2180" t="str">
        <f t="shared" si="145"/>
        <v>USD</v>
      </c>
      <c r="E2180" t="str">
        <f>"2016"</f>
        <v>2016</v>
      </c>
      <c r="F2180" t="str">
        <f>"Fortin"</f>
        <v>Fortin</v>
      </c>
      <c r="G2180" t="str">
        <f>"avanddanesh"</f>
        <v>avanddanesh</v>
      </c>
    </row>
    <row r="2181" spans="1:7" x14ac:dyDescent="0.25">
      <c r="A2181" t="str">
        <f>"Food Safety and Preservation, Modern Biological Approaches to Improving Consumer Health"</f>
        <v>Food Safety and Preservation, Modern Biological Approaches to Improving Consumer Health</v>
      </c>
      <c r="B2181" t="str">
        <f>"9780128149508"</f>
        <v>9780128149508</v>
      </c>
      <c r="C2181">
        <v>225</v>
      </c>
      <c r="D2181" t="str">
        <f t="shared" si="145"/>
        <v>USD</v>
      </c>
      <c r="E2181" t="str">
        <f>"2018"</f>
        <v>2018</v>
      </c>
      <c r="F2181" t="str">
        <f>"Grumezescu and Holba"</f>
        <v>Grumezescu and Holba</v>
      </c>
      <c r="G2181" t="str">
        <f>"dehkadehketab"</f>
        <v>dehkadehketab</v>
      </c>
    </row>
    <row r="2182" spans="1:7" x14ac:dyDescent="0.25">
      <c r="A2182" t="str">
        <f>"FOOD SAFETY EMERGENCIES, HB,       'NEW'"</f>
        <v>FOOD SAFETY EMERGENCIES, HB,       'NEW'</v>
      </c>
      <c r="B2182" t="str">
        <f>"9789380090726"</f>
        <v>9789380090726</v>
      </c>
      <c r="C2182">
        <v>16.68</v>
      </c>
      <c r="D2182" t="str">
        <f t="shared" si="145"/>
        <v>USD</v>
      </c>
      <c r="E2182" t="str">
        <f>"2015"</f>
        <v>2015</v>
      </c>
      <c r="F2182" t="str">
        <f>"Teena Kapasia"</f>
        <v>Teena Kapasia</v>
      </c>
      <c r="G2182" t="str">
        <f>"supply"</f>
        <v>supply</v>
      </c>
    </row>
    <row r="2183" spans="1:7" x14ac:dyDescent="0.25">
      <c r="A2183" t="str">
        <f>"Food Safety in the Seafood Industry: A Practical Guide for ISO 22000 and FSSC 22000 Implementation"</f>
        <v>Food Safety in the Seafood Industry: A Practical Guide for ISO 22000 and FSSC 22000 Implementation</v>
      </c>
      <c r="B2183" t="str">
        <f>"9781118965078"</f>
        <v>9781118965078</v>
      </c>
      <c r="C2183">
        <v>59.5</v>
      </c>
      <c r="D2183" t="str">
        <f t="shared" si="145"/>
        <v>USD</v>
      </c>
      <c r="E2183" t="str">
        <f>"2016"</f>
        <v>2016</v>
      </c>
      <c r="F2183" t="str">
        <f>"Soares"</f>
        <v>Soares</v>
      </c>
      <c r="G2183" t="str">
        <f>"avanddanesh"</f>
        <v>avanddanesh</v>
      </c>
    </row>
    <row r="2184" spans="1:7" x14ac:dyDescent="0.25">
      <c r="A2184" t="str">
        <f>"Food Safety Management, A Practical Guide for the Food Industry"</f>
        <v>Food Safety Management, A Practical Guide for the Food Industry</v>
      </c>
      <c r="B2184" t="str">
        <f>"9780128100172"</f>
        <v>9780128100172</v>
      </c>
      <c r="C2184">
        <v>179.95</v>
      </c>
      <c r="D2184" t="str">
        <f t="shared" si="145"/>
        <v>USD</v>
      </c>
      <c r="E2184" t="str">
        <f>"2017"</f>
        <v>2017</v>
      </c>
      <c r="F2184" t="str">
        <f>"Motarjemi and Leliev"</f>
        <v>Motarjemi and Leliev</v>
      </c>
      <c r="G2184" t="str">
        <f>"dehkadehketab"</f>
        <v>dehkadehketab</v>
      </c>
    </row>
    <row r="2185" spans="1:7" x14ac:dyDescent="0.25">
      <c r="A2185" t="str">
        <f>"Food Safety, Risk Intelligence and Benchmarking"</f>
        <v>Food Safety, Risk Intelligence and Benchmarking</v>
      </c>
      <c r="B2185" t="str">
        <f>"9781119071129"</f>
        <v>9781119071129</v>
      </c>
      <c r="C2185">
        <v>63</v>
      </c>
      <c r="D2185" t="str">
        <f t="shared" si="145"/>
        <v>USD</v>
      </c>
      <c r="E2185" t="str">
        <f>"2017"</f>
        <v>2017</v>
      </c>
      <c r="F2185" t="str">
        <f>"Charlebois"</f>
        <v>Charlebois</v>
      </c>
      <c r="G2185" t="str">
        <f>"avanddanesh"</f>
        <v>avanddanesh</v>
      </c>
    </row>
    <row r="2186" spans="1:7" x14ac:dyDescent="0.25">
      <c r="A2186" t="str">
        <f>"Food Safety: Innovative Analytical Tools for Safety Assessment"</f>
        <v>Food Safety: Innovative Analytical Tools for Safety Assessment</v>
      </c>
      <c r="B2186" t="str">
        <f>"9781119160557"</f>
        <v>9781119160557</v>
      </c>
      <c r="C2186">
        <v>202.5</v>
      </c>
      <c r="D2186" t="str">
        <f t="shared" si="145"/>
        <v>USD</v>
      </c>
      <c r="E2186" t="str">
        <f>"2017"</f>
        <v>2017</v>
      </c>
      <c r="F2186" t="str">
        <f>"Spizziri"</f>
        <v>Spizziri</v>
      </c>
      <c r="G2186" t="str">
        <f>"avanddanesh"</f>
        <v>avanddanesh</v>
      </c>
    </row>
    <row r="2187" spans="1:7" x14ac:dyDescent="0.25">
      <c r="A2187" t="str">
        <f>"Food Safety: Rapid Detection and Effective Prevention of Foodborne Hazards"</f>
        <v>Food Safety: Rapid Detection and Effective Prevention of Foodborne Hazards</v>
      </c>
      <c r="B2187" t="str">
        <f>"9781771886284"</f>
        <v>9781771886284</v>
      </c>
      <c r="C2187">
        <v>111.6</v>
      </c>
      <c r="D2187" t="str">
        <f>"GBP"</f>
        <v>GBP</v>
      </c>
      <c r="E2187" t="str">
        <f>"2018"</f>
        <v>2018</v>
      </c>
      <c r="F2187" t="str">
        <f>"Hu"</f>
        <v>Hu</v>
      </c>
      <c r="G2187" t="str">
        <f>"sal"</f>
        <v>sal</v>
      </c>
    </row>
    <row r="2188" spans="1:7" x14ac:dyDescent="0.25">
      <c r="A2188" t="str">
        <f>"Food Safety: The Science of Keeping Food Safe,2e"</f>
        <v>Food Safety: The Science of Keeping Food Safe,2e</v>
      </c>
      <c r="B2188" t="str">
        <f>"9781119133667"</f>
        <v>9781119133667</v>
      </c>
      <c r="C2188">
        <v>58.5</v>
      </c>
      <c r="D2188" t="str">
        <f t="shared" ref="D2188:D2196" si="146">"USD"</f>
        <v>USD</v>
      </c>
      <c r="E2188" t="str">
        <f>"2018"</f>
        <v>2018</v>
      </c>
      <c r="F2188" t="str">
        <f>"Shaw"</f>
        <v>Shaw</v>
      </c>
      <c r="G2188" t="str">
        <f>"avanddanesh"</f>
        <v>avanddanesh</v>
      </c>
    </row>
    <row r="2189" spans="1:7" x14ac:dyDescent="0.25">
      <c r="A2189" t="str">
        <f>"FOOD SCIENCE &amp; TECHNOLOGY, Set of 7 vols, HB"</f>
        <v>FOOD SCIENCE &amp; TECHNOLOGY, Set of 7 vols, HB</v>
      </c>
      <c r="B2189" t="str">
        <f>"9788131304457"</f>
        <v>9788131304457</v>
      </c>
      <c r="C2189">
        <v>99.89</v>
      </c>
      <c r="D2189" t="str">
        <f t="shared" si="146"/>
        <v>USD</v>
      </c>
      <c r="E2189" t="str">
        <f>"2009"</f>
        <v>2009</v>
      </c>
      <c r="F2189" t="str">
        <f>"Mahindru"</f>
        <v>Mahindru</v>
      </c>
      <c r="G2189" t="str">
        <f>"supply"</f>
        <v>supply</v>
      </c>
    </row>
    <row r="2190" spans="1:7" x14ac:dyDescent="0.25">
      <c r="A2190" t="str">
        <f>"Food Science and Nutrition : Breakthroughs in Research and Practice"</f>
        <v>Food Science and Nutrition : Breakthroughs in Research and Practice</v>
      </c>
      <c r="B2190" t="str">
        <f>"9781522552079"</f>
        <v>9781522552079</v>
      </c>
      <c r="C2190">
        <v>288.8</v>
      </c>
      <c r="D2190" t="str">
        <f t="shared" si="146"/>
        <v>USD</v>
      </c>
      <c r="E2190" t="str">
        <f>"2018"</f>
        <v>2018</v>
      </c>
      <c r="F2190" t="str">
        <f>"Information Resource"</f>
        <v>Information Resource</v>
      </c>
      <c r="G2190" t="str">
        <f>"arzinbooks"</f>
        <v>arzinbooks</v>
      </c>
    </row>
    <row r="2191" spans="1:7" x14ac:dyDescent="0.25">
      <c r="A2191" t="str">
        <f>"Food Science and Technology"</f>
        <v>Food Science and Technology</v>
      </c>
      <c r="B2191" t="str">
        <f>"9780632064212"</f>
        <v>9780632064212</v>
      </c>
      <c r="C2191">
        <v>34</v>
      </c>
      <c r="D2191" t="str">
        <f t="shared" si="146"/>
        <v>USD</v>
      </c>
      <c r="E2191" t="str">
        <f>"2009"</f>
        <v>2009</v>
      </c>
      <c r="F2191" t="str">
        <f>"Campbell-Platt"</f>
        <v>Campbell-Platt</v>
      </c>
      <c r="G2191" t="str">
        <f>"avanddanesh"</f>
        <v>avanddanesh</v>
      </c>
    </row>
    <row r="2192" spans="1:7" x14ac:dyDescent="0.25">
      <c r="A2192" t="str">
        <f>"Food Science and Technology,2e"</f>
        <v>Food Science and Technology,2e</v>
      </c>
      <c r="B2192" t="str">
        <f>"9780470673423"</f>
        <v>9780470673423</v>
      </c>
      <c r="C2192">
        <v>72</v>
      </c>
      <c r="D2192" t="str">
        <f t="shared" si="146"/>
        <v>USD</v>
      </c>
      <c r="E2192" t="str">
        <f>"2017"</f>
        <v>2017</v>
      </c>
      <c r="F2192" t="str">
        <f>"Campbell-Platt"</f>
        <v>Campbell-Platt</v>
      </c>
      <c r="G2192" t="str">
        <f>"avanddanesh"</f>
        <v>avanddanesh</v>
      </c>
    </row>
    <row r="2193" spans="1:7" x14ac:dyDescent="0.25">
      <c r="A2193" t="str">
        <f>"Food Science and the Culinary Arts"</f>
        <v>Food Science and the Culinary Arts</v>
      </c>
      <c r="B2193" t="str">
        <f>"9780128118054"</f>
        <v>9780128118054</v>
      </c>
      <c r="C2193">
        <v>135</v>
      </c>
      <c r="D2193" t="str">
        <f t="shared" si="146"/>
        <v>USD</v>
      </c>
      <c r="E2193" t="str">
        <f>"2018"</f>
        <v>2018</v>
      </c>
      <c r="F2193" t="str">
        <f>"Gibson"</f>
        <v>Gibson</v>
      </c>
      <c r="G2193" t="str">
        <f>"dehkadehketab"</f>
        <v>dehkadehketab</v>
      </c>
    </row>
    <row r="2194" spans="1:7" x14ac:dyDescent="0.25">
      <c r="A2194" t="str">
        <f>"FOOD SCIENCE, ENGINEERING AND TECHNOLOGY, HB,       'NEW'"</f>
        <v>FOOD SCIENCE, ENGINEERING AND TECHNOLOGY, HB,       'NEW'</v>
      </c>
      <c r="B2194" t="str">
        <f>"9789380090719"</f>
        <v>9789380090719</v>
      </c>
      <c r="C2194">
        <v>16.68</v>
      </c>
      <c r="D2194" t="str">
        <f t="shared" si="146"/>
        <v>USD</v>
      </c>
      <c r="E2194" t="str">
        <f>"2015"</f>
        <v>2015</v>
      </c>
      <c r="F2194" t="str">
        <f>"Lina Mathur"</f>
        <v>Lina Mathur</v>
      </c>
      <c r="G2194" t="str">
        <f>"supply"</f>
        <v>supply</v>
      </c>
    </row>
    <row r="2195" spans="1:7" x14ac:dyDescent="0.25">
      <c r="A2195" t="str">
        <f>"Food Science, Production, and Engineering in Contemporary Economies"</f>
        <v>Food Science, Production, and Engineering in Contemporary Economies</v>
      </c>
      <c r="B2195" t="str">
        <f>"9781522503415"</f>
        <v>9781522503415</v>
      </c>
      <c r="C2195">
        <v>156</v>
      </c>
      <c r="D2195" t="str">
        <f t="shared" si="146"/>
        <v>USD</v>
      </c>
      <c r="E2195" t="str">
        <f>"2016"</f>
        <v>2016</v>
      </c>
      <c r="F2195" t="str">
        <f>"Andrei Jean-Vasile ,"</f>
        <v>Andrei Jean-Vasile ,</v>
      </c>
      <c r="G2195" t="str">
        <f>"arzinbooks"</f>
        <v>arzinbooks</v>
      </c>
    </row>
    <row r="2196" spans="1:7" x14ac:dyDescent="0.25">
      <c r="A2196" t="str">
        <f>"FOOD SCIENCE: ISSUES, PRODUCTS,  FUNCTIONS AND PRINCIPLES"</f>
        <v>FOOD SCIENCE: ISSUES, PRODUCTS,  FUNCTIONS AND PRINCIPLES</v>
      </c>
      <c r="B2196" t="str">
        <f>"9781587160288"</f>
        <v>9781587160288</v>
      </c>
      <c r="C2196">
        <v>37.72</v>
      </c>
      <c r="D2196" t="str">
        <f t="shared" si="146"/>
        <v>USD</v>
      </c>
      <c r="E2196" t="str">
        <f>"2003"</f>
        <v>2003</v>
      </c>
      <c r="F2196" t="str">
        <f>"ROBERT L. SHEWFELT"</f>
        <v>ROBERT L. SHEWFELT</v>
      </c>
      <c r="G2196" t="str">
        <f>"safirketab"</f>
        <v>safirketab</v>
      </c>
    </row>
    <row r="2197" spans="1:7" x14ac:dyDescent="0.25">
      <c r="A2197" t="str">
        <f>"Food Security, Food Safety, Food Quality: Current Developments and Challenges in European Union Law"</f>
        <v>Food Security, Food Safety, Food Quality: Current Developments and Challenges in European Union Law</v>
      </c>
      <c r="B2197" t="str">
        <f>"9781509911318"</f>
        <v>9781509911318</v>
      </c>
      <c r="C2197">
        <v>63.8</v>
      </c>
      <c r="D2197" t="str">
        <f>"GBP"</f>
        <v>GBP</v>
      </c>
      <c r="E2197" t="str">
        <f>"2017"</f>
        <v>2017</v>
      </c>
      <c r="F2197" t="str">
        <f>"Ines H?rtel andÂ Roma"</f>
        <v>Ines H?rtel andÂ Roma</v>
      </c>
      <c r="G2197" t="str">
        <f>"arzinbooks"</f>
        <v>arzinbooks</v>
      </c>
    </row>
    <row r="2198" spans="1:7" x14ac:dyDescent="0.25">
      <c r="A2198" t="str">
        <f>"Food Security, Poverty and Nutrition Policy Analysis, Statistical Methods and Applications, 2nd Edition"</f>
        <v>Food Security, Poverty and Nutrition Policy Analysis, Statistical Methods and Applications, 2nd Edition</v>
      </c>
      <c r="B2198" t="str">
        <f>"9780128100653"</f>
        <v>9780128100653</v>
      </c>
      <c r="C2198">
        <v>112.5</v>
      </c>
      <c r="D2198" t="str">
        <f>"USD"</f>
        <v>USD</v>
      </c>
      <c r="E2198" t="str">
        <f>"2017"</f>
        <v>2017</v>
      </c>
      <c r="F2198" t="str">
        <f>"Babu et al"</f>
        <v>Babu et al</v>
      </c>
      <c r="G2198" t="str">
        <f>"dehkadehketab"</f>
        <v>dehkadehketab</v>
      </c>
    </row>
    <row r="2199" spans="1:7" x14ac:dyDescent="0.25">
      <c r="A2199" t="str">
        <f>"Food Stabilisers, Thickeners and Gelling Agents"</f>
        <v>Food Stabilisers, Thickeners and Gelling Agents</v>
      </c>
      <c r="B2199" t="str">
        <f>"9781405132671"</f>
        <v>9781405132671</v>
      </c>
      <c r="C2199">
        <v>151.19999999999999</v>
      </c>
      <c r="D2199" t="str">
        <f>"USD"</f>
        <v>USD</v>
      </c>
      <c r="E2199" t="str">
        <f>"2010"</f>
        <v>2010</v>
      </c>
      <c r="F2199" t="str">
        <f>"Imeson"</f>
        <v>Imeson</v>
      </c>
      <c r="G2199" t="str">
        <f>"safirketab"</f>
        <v>safirketab</v>
      </c>
    </row>
    <row r="2200" spans="1:7" x14ac:dyDescent="0.25">
      <c r="A2200" t="str">
        <f>"Food Structures, Digestion and Health"</f>
        <v>Food Structures, Digestion and Health</v>
      </c>
      <c r="B2200" t="str">
        <f>"9780128101063"</f>
        <v>9780128101063</v>
      </c>
      <c r="C2200">
        <v>162</v>
      </c>
      <c r="D2200" t="str">
        <f>"USD"</f>
        <v>USD</v>
      </c>
      <c r="E2200" t="str">
        <f>"2017"</f>
        <v>2017</v>
      </c>
      <c r="F2200" t="str">
        <f>"Boland et al"</f>
        <v>Boland et al</v>
      </c>
      <c r="G2200" t="str">
        <f>"dehkadehketab"</f>
        <v>dehkadehketab</v>
      </c>
    </row>
    <row r="2201" spans="1:7" x14ac:dyDescent="0.25">
      <c r="A2201" t="str">
        <f>"FOOD SYSTEMS FAILURE - ROSIN"</f>
        <v>FOOD SYSTEMS FAILURE - ROSIN</v>
      </c>
      <c r="B2201" t="str">
        <f>"9781849712293"</f>
        <v>9781849712293</v>
      </c>
      <c r="C2201">
        <v>45</v>
      </c>
      <c r="D2201" t="str">
        <f>"GBP"</f>
        <v>GBP</v>
      </c>
      <c r="E2201" t="str">
        <f>"2012"</f>
        <v>2012</v>
      </c>
      <c r="F2201" t="str">
        <f>"ROSIN"</f>
        <v>ROSIN</v>
      </c>
      <c r="G2201" t="str">
        <f>"AsarBartar"</f>
        <v>AsarBartar</v>
      </c>
    </row>
    <row r="2202" spans="1:7" x14ac:dyDescent="0.25">
      <c r="A2202" t="str">
        <f>"Food Texture Design and Optimization"</f>
        <v>Food Texture Design and Optimization</v>
      </c>
      <c r="B2202" t="str">
        <f>"9780470672426"</f>
        <v>9780470672426</v>
      </c>
      <c r="C2202">
        <v>154.5</v>
      </c>
      <c r="D2202" t="str">
        <f>"USD"</f>
        <v>USD</v>
      </c>
      <c r="E2202" t="str">
        <f>"2014"</f>
        <v>2014</v>
      </c>
      <c r="F2202" t="str">
        <f>"Dar"</f>
        <v>Dar</v>
      </c>
      <c r="G2202" t="str">
        <f>"avanddanesh"</f>
        <v>avanddanesh</v>
      </c>
    </row>
    <row r="2203" spans="1:7" x14ac:dyDescent="0.25">
      <c r="A2203" t="str">
        <f>"Food Toxicology"</f>
        <v>Food Toxicology</v>
      </c>
      <c r="B2203" t="str">
        <f>"9781498708746"</f>
        <v>9781498708746</v>
      </c>
      <c r="C2203">
        <v>126</v>
      </c>
      <c r="D2203" t="str">
        <f>"GBP"</f>
        <v>GBP</v>
      </c>
      <c r="E2203" t="str">
        <f>"2017"</f>
        <v>2017</v>
      </c>
      <c r="F2203" t="str">
        <f>"BAGCHI"</f>
        <v>BAGCHI</v>
      </c>
      <c r="G2203" t="str">
        <f>"sal"</f>
        <v>sal</v>
      </c>
    </row>
    <row r="2204" spans="1:7" x14ac:dyDescent="0.25">
      <c r="A2204" t="str">
        <f>"Food Toxicology: Current Advances and Future Challenges"</f>
        <v>Food Toxicology: Current Advances and Future Challenges</v>
      </c>
      <c r="B2204" t="str">
        <f>"9781771886178"</f>
        <v>9781771886178</v>
      </c>
      <c r="C2204">
        <v>125.1</v>
      </c>
      <c r="D2204" t="str">
        <f>"GBP"</f>
        <v>GBP</v>
      </c>
      <c r="E2204" t="str">
        <f>"2017"</f>
        <v>2017</v>
      </c>
      <c r="F2204" t="str">
        <f>"Sachan"</f>
        <v>Sachan</v>
      </c>
      <c r="G2204" t="str">
        <f>"sal"</f>
        <v>sal</v>
      </c>
    </row>
    <row r="2205" spans="1:7" x14ac:dyDescent="0.25">
      <c r="A2205" t="str">
        <f>"Food Waste Recovery, Processing Technologies And I"</f>
        <v>Food Waste Recovery, Processing Technologies And I</v>
      </c>
      <c r="B2205" t="str">
        <f>"9780128003510"</f>
        <v>9780128003510</v>
      </c>
      <c r="C2205">
        <v>117</v>
      </c>
      <c r="D2205" t="str">
        <f>"USD"</f>
        <v>USD</v>
      </c>
      <c r="E2205" t="str">
        <f>"2015"</f>
        <v>2015</v>
      </c>
      <c r="F2205" t="str">
        <f>"N/A*"</f>
        <v>N/A*</v>
      </c>
      <c r="G2205" t="str">
        <f>"dehkadehketab"</f>
        <v>dehkadehketab</v>
      </c>
    </row>
    <row r="2206" spans="1:7" x14ac:dyDescent="0.25">
      <c r="A2206" t="str">
        <f>"FOOD, FEEDING HABITS, ALIMENTARY CANAL AND DIGESTION IN FISHES: A Bibliography, HB    "</f>
        <v xml:space="preserve">FOOD, FEEDING HABITS, ALIMENTARY CANAL AND DIGESTION IN FISHES: A Bibliography, HB    </v>
      </c>
      <c r="B2206" t="str">
        <f>"9788170194675"</f>
        <v>9788170194675</v>
      </c>
      <c r="C2206">
        <v>15.47</v>
      </c>
      <c r="D2206" t="str">
        <f>"USD"</f>
        <v>USD</v>
      </c>
      <c r="E2206" t="str">
        <f>"2012"</f>
        <v>2012</v>
      </c>
      <c r="F2206" t="str">
        <f>"Dr. Surendra Nath"</f>
        <v>Dr. Surendra Nath</v>
      </c>
      <c r="G2206" t="str">
        <f>"supply"</f>
        <v>supply</v>
      </c>
    </row>
    <row r="2207" spans="1:7" x14ac:dyDescent="0.25">
      <c r="A2207" t="str">
        <f>"Foodborne Diseases, Volume15"</f>
        <v>Foodborne Diseases, Volume15</v>
      </c>
      <c r="B2207" t="str">
        <f>"9780128114438"</f>
        <v>9780128114438</v>
      </c>
      <c r="C2207">
        <v>135</v>
      </c>
      <c r="D2207" t="str">
        <f>"USD"</f>
        <v>USD</v>
      </c>
      <c r="E2207" t="str">
        <f>"2018"</f>
        <v>2018</v>
      </c>
      <c r="F2207" t="str">
        <f>"Grumezescu and Holba"</f>
        <v>Grumezescu and Holba</v>
      </c>
      <c r="G2207" t="str">
        <f>"dehkadehketab"</f>
        <v>dehkadehketab</v>
      </c>
    </row>
    <row r="2208" spans="1:7" x14ac:dyDescent="0.25">
      <c r="A2208" t="str">
        <f>"Foods, Nutrients and Food Ingredients with Authorised EU Health Claims"</f>
        <v>Foods, Nutrients and Food Ingredients with Authorised EU Health Claims</v>
      </c>
      <c r="B2208" t="str">
        <f>"9780081014042"</f>
        <v>9780081014042</v>
      </c>
      <c r="C2208">
        <v>265.5</v>
      </c>
      <c r="D2208" t="str">
        <f>"USD"</f>
        <v>USD</v>
      </c>
      <c r="E2208" t="str">
        <f>"2017"</f>
        <v>2017</v>
      </c>
      <c r="F2208" t="str">
        <f>"Sadler"</f>
        <v>Sadler</v>
      </c>
      <c r="G2208" t="str">
        <f>"dehkadehketab"</f>
        <v>dehkadehketab</v>
      </c>
    </row>
    <row r="2209" spans="1:7" x14ac:dyDescent="0.25">
      <c r="A2209" t="str">
        <f>"Formulation Engineering of Foods"</f>
        <v>Formulation Engineering of Foods</v>
      </c>
      <c r="B2209" t="str">
        <f>"9780470672907"</f>
        <v>9780470672907</v>
      </c>
      <c r="C2209">
        <v>110.5</v>
      </c>
      <c r="D2209" t="str">
        <f>"USD"</f>
        <v>USD</v>
      </c>
      <c r="E2209" t="str">
        <f>"2013"</f>
        <v>2013</v>
      </c>
      <c r="F2209" t="str">
        <f>"Norton"</f>
        <v>Norton</v>
      </c>
      <c r="G2209" t="str">
        <f>"avanddanesh"</f>
        <v>avanddanesh</v>
      </c>
    </row>
    <row r="2210" spans="1:7" x14ac:dyDescent="0.25">
      <c r="A2210" t="str">
        <f>"Fresh-Cut Fruits and Vegetables: Technology, Physiology, and Safety (Innovations in Postharvest Technology Series)"</f>
        <v>Fresh-Cut Fruits and Vegetables: Technology, Physiology, and Safety (Innovations in Postharvest Technology Series)</v>
      </c>
      <c r="B2210" t="str">
        <f>"9781498729949"</f>
        <v>9781498729949</v>
      </c>
      <c r="C2210">
        <v>96.9</v>
      </c>
      <c r="D2210" t="str">
        <f>"GBP"</f>
        <v>GBP</v>
      </c>
      <c r="E2210" t="str">
        <f>"2016"</f>
        <v>2016</v>
      </c>
      <c r="F2210" t="str">
        <f>"Sunil Pareek(Editor"</f>
        <v>Sunil Pareek(Editor</v>
      </c>
      <c r="G2210" t="str">
        <f>"AsarBartar"</f>
        <v>AsarBartar</v>
      </c>
    </row>
    <row r="2211" spans="1:7" x14ac:dyDescent="0.25">
      <c r="A2211" t="str">
        <f>"From Milk By-Products to Milk Ingredients: Upgrading the Cycle"</f>
        <v>From Milk By-Products to Milk Ingredients: Upgrading the Cycle</v>
      </c>
      <c r="B2211" t="str">
        <f>"9780470672228"</f>
        <v>9780470672228</v>
      </c>
      <c r="C2211">
        <v>123.8</v>
      </c>
      <c r="D2211" t="str">
        <f t="shared" ref="D2211:D2224" si="147">"USD"</f>
        <v>USD</v>
      </c>
      <c r="E2211" t="str">
        <f>"2014"</f>
        <v>2014</v>
      </c>
      <c r="F2211" t="str">
        <f>"de Boer"</f>
        <v>de Boer</v>
      </c>
      <c r="G2211" t="str">
        <f>"avanddanesh"</f>
        <v>avanddanesh</v>
      </c>
    </row>
    <row r="2212" spans="1:7" x14ac:dyDescent="0.25">
      <c r="A2212" t="str">
        <f>"Frozen Desserts"</f>
        <v>Frozen Desserts</v>
      </c>
      <c r="B2212" t="str">
        <f>"9780470118665"</f>
        <v>9780470118665</v>
      </c>
      <c r="C2212">
        <v>98.8</v>
      </c>
      <c r="D2212" t="str">
        <f t="shared" si="147"/>
        <v>USD</v>
      </c>
      <c r="E2212" t="str">
        <f>"2008"</f>
        <v>2008</v>
      </c>
      <c r="F2212" t="str">
        <f>"CIA"</f>
        <v>CIA</v>
      </c>
      <c r="G2212" t="str">
        <f>"avanddanesh"</f>
        <v>avanddanesh</v>
      </c>
    </row>
    <row r="2213" spans="1:7" x14ac:dyDescent="0.25">
      <c r="A2213" t="str">
        <f>"Frozen Food Science and Technology"</f>
        <v>Frozen Food Science and Technology</v>
      </c>
      <c r="B2213" t="str">
        <f>"9781405154789"</f>
        <v>9781405154789</v>
      </c>
      <c r="C2213">
        <v>116.99</v>
      </c>
      <c r="D2213" t="str">
        <f t="shared" si="147"/>
        <v>USD</v>
      </c>
      <c r="E2213" t="str">
        <f>"2008"</f>
        <v>2008</v>
      </c>
      <c r="F2213" t="str">
        <f>"Evans"</f>
        <v>Evans</v>
      </c>
      <c r="G2213" t="str">
        <f>"safirketab"</f>
        <v>safirketab</v>
      </c>
    </row>
    <row r="2214" spans="1:7" x14ac:dyDescent="0.25">
      <c r="A2214" t="str">
        <f>"FRUIT AND VEGETABLE BIOTECHNOLOGY, HB"</f>
        <v>FRUIT AND VEGETABLE BIOTECHNOLOGY, HB</v>
      </c>
      <c r="B2214" t="str">
        <f>"9789350300510"</f>
        <v>9789350300510</v>
      </c>
      <c r="C2214">
        <v>34.020000000000003</v>
      </c>
      <c r="D2214" t="str">
        <f t="shared" si="147"/>
        <v>USD</v>
      </c>
      <c r="E2214" t="str">
        <f>"2012"</f>
        <v>2012</v>
      </c>
      <c r="F2214" t="str">
        <f>"Singh"</f>
        <v>Singh</v>
      </c>
      <c r="G2214" t="str">
        <f>"supply"</f>
        <v>supply</v>
      </c>
    </row>
    <row r="2215" spans="1:7" x14ac:dyDescent="0.25">
      <c r="A2215" t="str">
        <f>"Fruit and Vegetable Phytochemicals: Chemistry, Nutritional Value and Stability"</f>
        <v>Fruit and Vegetable Phytochemicals: Chemistry, Nutritional Value and Stability</v>
      </c>
      <c r="B2215" t="str">
        <f>"9780813803203"</f>
        <v>9780813803203</v>
      </c>
      <c r="C2215">
        <v>101.2</v>
      </c>
      <c r="D2215" t="str">
        <f t="shared" si="147"/>
        <v>USD</v>
      </c>
      <c r="E2215" t="str">
        <f>"2009"</f>
        <v>2009</v>
      </c>
      <c r="F2215" t="str">
        <f>"de la Rosa"</f>
        <v>de la Rosa</v>
      </c>
      <c r="G2215" t="str">
        <f>"avanddanesh"</f>
        <v>avanddanesh</v>
      </c>
    </row>
    <row r="2216" spans="1:7" x14ac:dyDescent="0.25">
      <c r="A2216" t="str">
        <f>"Fruit and Vegetable Phytochemicals:Chemistry, Nutritional Value and Stability"</f>
        <v>Fruit and Vegetable Phytochemicals:Chemistry, Nutritional Value and Stability</v>
      </c>
      <c r="B2216" t="str">
        <f>"9780813803203"</f>
        <v>9780813803203</v>
      </c>
      <c r="C2216">
        <v>101.2</v>
      </c>
      <c r="D2216" t="str">
        <f t="shared" si="147"/>
        <v>USD</v>
      </c>
      <c r="E2216" t="str">
        <f>"2010"</f>
        <v>2010</v>
      </c>
      <c r="F2216" t="str">
        <f>"de la Rosa"</f>
        <v>de la Rosa</v>
      </c>
      <c r="G2216" t="str">
        <f>"safirketab"</f>
        <v>safirketab</v>
      </c>
    </row>
    <row r="2217" spans="1:7" x14ac:dyDescent="0.25">
      <c r="A2217" t="str">
        <f>"Fruit And Vegetable Presefvation Techniques, HB"</f>
        <v>Fruit And Vegetable Presefvation Techniques, HB</v>
      </c>
      <c r="B2217" t="str">
        <f>"9788131307694"</f>
        <v>9788131307694</v>
      </c>
      <c r="C2217">
        <v>15.47</v>
      </c>
      <c r="D2217" t="str">
        <f t="shared" si="147"/>
        <v>USD</v>
      </c>
      <c r="E2217" t="str">
        <f>"2012"</f>
        <v>2012</v>
      </c>
      <c r="F2217" t="str">
        <f>"Narang"</f>
        <v>Narang</v>
      </c>
      <c r="G2217" t="str">
        <f>"supply"</f>
        <v>supply</v>
      </c>
    </row>
    <row r="2218" spans="1:7" x14ac:dyDescent="0.25">
      <c r="A2218" t="str">
        <f>"FSMA and Food Safety Systems: Understanding and Implementing the Rules"</f>
        <v>FSMA and Food Safety Systems: Understanding and Implementing the Rules</v>
      </c>
      <c r="B2218" t="str">
        <f>"9781119258070"</f>
        <v>9781119258070</v>
      </c>
      <c r="C2218">
        <v>67.5</v>
      </c>
      <c r="D2218" t="str">
        <f t="shared" si="147"/>
        <v>USD</v>
      </c>
      <c r="E2218" t="str">
        <f>"2017"</f>
        <v>2017</v>
      </c>
      <c r="F2218" t="str">
        <f>"Barach"</f>
        <v>Barach</v>
      </c>
      <c r="G2218" t="str">
        <f>"avanddanesh"</f>
        <v>avanddanesh</v>
      </c>
    </row>
    <row r="2219" spans="1:7" x14ac:dyDescent="0.25">
      <c r="A2219" t="str">
        <f>"FUNCTIONAL DAIRY FOODS : Concepts And Applications, HB"</f>
        <v>FUNCTIONAL DAIRY FOODS : Concepts And Applications, HB</v>
      </c>
      <c r="B2219" t="str">
        <f>"9788189304904"</f>
        <v>9788189304904</v>
      </c>
      <c r="C2219">
        <v>32.9</v>
      </c>
      <c r="D2219" t="str">
        <f t="shared" si="147"/>
        <v>USD</v>
      </c>
      <c r="E2219" t="str">
        <f>"2011"</f>
        <v>2011</v>
      </c>
      <c r="F2219" t="str">
        <f>"Tomar"</f>
        <v>Tomar</v>
      </c>
      <c r="G2219" t="str">
        <f>"supply"</f>
        <v>supply</v>
      </c>
    </row>
    <row r="2220" spans="1:7" x14ac:dyDescent="0.25">
      <c r="A2220" t="str">
        <f>"Functional Dietary Lipids, Food Formulation, Consu"</f>
        <v>Functional Dietary Lipids, Food Formulation, Consu</v>
      </c>
      <c r="B2220" t="str">
        <f>"9781782422471"</f>
        <v>9781782422471</v>
      </c>
      <c r="C2220">
        <v>211.5</v>
      </c>
      <c r="D2220" t="str">
        <f t="shared" si="147"/>
        <v>USD</v>
      </c>
      <c r="E2220" t="str">
        <f>"2015"</f>
        <v>2015</v>
      </c>
      <c r="F2220" t="str">
        <f>"N/A*"</f>
        <v>N/A*</v>
      </c>
      <c r="G2220" t="str">
        <f>"dehkadehketab"</f>
        <v>dehkadehketab</v>
      </c>
    </row>
    <row r="2221" spans="1:7" x14ac:dyDescent="0.25">
      <c r="A2221" t="str">
        <f>"Functional Food Product Development"</f>
        <v>Functional Food Product Development</v>
      </c>
      <c r="B2221" t="str">
        <f>"9781405178761"</f>
        <v>9781405178761</v>
      </c>
      <c r="C2221">
        <v>185.95</v>
      </c>
      <c r="D2221" t="str">
        <f t="shared" si="147"/>
        <v>USD</v>
      </c>
      <c r="E2221" t="str">
        <f>"2010"</f>
        <v>2010</v>
      </c>
      <c r="F2221" t="str">
        <f>"Smith"</f>
        <v>Smith</v>
      </c>
      <c r="G2221" t="str">
        <f>"safirketab"</f>
        <v>safirketab</v>
      </c>
    </row>
    <row r="2222" spans="1:7" x14ac:dyDescent="0.25">
      <c r="A2222" t="str">
        <f>"Functional Foods and Dietary Supplements: Processing Effects and Health Benefits"</f>
        <v>Functional Foods and Dietary Supplements: Processing Effects and Health Benefits</v>
      </c>
      <c r="B2222" t="str">
        <f>"9781118227879"</f>
        <v>9781118227879</v>
      </c>
      <c r="C2222">
        <v>123.8</v>
      </c>
      <c r="D2222" t="str">
        <f t="shared" si="147"/>
        <v>USD</v>
      </c>
      <c r="E2222" t="str">
        <f>"2014"</f>
        <v>2014</v>
      </c>
      <c r="F2222" t="str">
        <f>"Noomhorm"</f>
        <v>Noomhorm</v>
      </c>
      <c r="G2222" t="str">
        <f>"avanddanesh"</f>
        <v>avanddanesh</v>
      </c>
    </row>
    <row r="2223" spans="1:7" x14ac:dyDescent="0.25">
      <c r="A2223" t="str">
        <f>"Functional Foods, Nutraceuticals and Degenerative Disease Prevention"</f>
        <v>Functional Foods, Nutraceuticals and Degenerative Disease Prevention</v>
      </c>
      <c r="B2223" t="str">
        <f>"9780813824536"</f>
        <v>9780813824536</v>
      </c>
      <c r="C2223">
        <v>92.4</v>
      </c>
      <c r="D2223" t="str">
        <f t="shared" si="147"/>
        <v>USD</v>
      </c>
      <c r="E2223" t="str">
        <f>"2011"</f>
        <v>2011</v>
      </c>
      <c r="F2223" t="str">
        <f>"Paliyath"</f>
        <v>Paliyath</v>
      </c>
      <c r="G2223" t="str">
        <f>"avanddanesh"</f>
        <v>avanddanesh</v>
      </c>
    </row>
    <row r="2224" spans="1:7" x14ac:dyDescent="0.25">
      <c r="A2224" t="str">
        <f>"Functional Ingredients from Algae for Foods and Nutraceuticals"</f>
        <v>Functional Ingredients from Algae for Foods and Nutraceuticals</v>
      </c>
      <c r="B2224" t="str">
        <f>"9780081014127"</f>
        <v>9780081014127</v>
      </c>
      <c r="C2224">
        <v>297</v>
      </c>
      <c r="D2224" t="str">
        <f t="shared" si="147"/>
        <v>USD</v>
      </c>
      <c r="E2224" t="str">
        <f>"2017"</f>
        <v>2017</v>
      </c>
      <c r="F2224" t="str">
        <f>"Dominguez"</f>
        <v>Dominguez</v>
      </c>
      <c r="G2224" t="str">
        <f>"dehkadehketab"</f>
        <v>dehkadehketab</v>
      </c>
    </row>
    <row r="2225" spans="1:7" x14ac:dyDescent="0.25">
      <c r="A2225" t="str">
        <f>"Fundamentals of Cheese Science. 2/ed"</f>
        <v>Fundamentals of Cheese Science. 2/ed</v>
      </c>
      <c r="B2225" t="str">
        <f>"9781489976796"</f>
        <v>9781489976796</v>
      </c>
      <c r="C2225">
        <v>152.99</v>
      </c>
      <c r="D2225" t="str">
        <f>"EUR"</f>
        <v>EUR</v>
      </c>
      <c r="E2225" t="str">
        <f>"2017"</f>
        <v>2017</v>
      </c>
      <c r="F2225" t="str">
        <f>"Fox"</f>
        <v>Fox</v>
      </c>
      <c r="G2225" t="str">
        <f>"negarestanabi"</f>
        <v>negarestanabi</v>
      </c>
    </row>
    <row r="2226" spans="1:7" x14ac:dyDescent="0.25">
      <c r="A2226" t="str">
        <f>"Fundamentals of Food Biotechnology,2e"</f>
        <v>Fundamentals of Food Biotechnology,2e</v>
      </c>
      <c r="B2226" t="str">
        <f>"9781118384954"</f>
        <v>9781118384954</v>
      </c>
      <c r="C2226">
        <v>148</v>
      </c>
      <c r="D2226" t="str">
        <f t="shared" ref="D2226:D2231" si="148">"USD"</f>
        <v>USD</v>
      </c>
      <c r="E2226" t="str">
        <f>"2015"</f>
        <v>2015</v>
      </c>
      <c r="F2226" t="str">
        <f>"Lee"</f>
        <v>Lee</v>
      </c>
      <c r="G2226" t="str">
        <f>"avanddanesh"</f>
        <v>avanddanesh</v>
      </c>
    </row>
    <row r="2227" spans="1:7" x14ac:dyDescent="0.25">
      <c r="A2227" t="str">
        <f>"Fundamentals of Food Engineering"</f>
        <v>Fundamentals of Food Engineering</v>
      </c>
      <c r="B2227" t="str">
        <f>"9788120338715"</f>
        <v>9788120338715</v>
      </c>
      <c r="C2227">
        <v>12.75</v>
      </c>
      <c r="D2227" t="str">
        <f t="shared" si="148"/>
        <v>USD</v>
      </c>
      <c r="E2227" t="str">
        <f>"2016"</f>
        <v>2016</v>
      </c>
      <c r="F2227" t="str">
        <f>"RAO"</f>
        <v>RAO</v>
      </c>
      <c r="G2227" t="str">
        <f>"jahanadib"</f>
        <v>jahanadib</v>
      </c>
    </row>
    <row r="2228" spans="1:7" x14ac:dyDescent="0.25">
      <c r="A2228" t="str">
        <f>"Garden Fresh Meals"</f>
        <v>Garden Fresh Meals</v>
      </c>
      <c r="B2228" t="str">
        <f>"9780470937501"</f>
        <v>9780470937501</v>
      </c>
      <c r="C2228">
        <v>8</v>
      </c>
      <c r="D2228" t="str">
        <f t="shared" si="148"/>
        <v>USD</v>
      </c>
      <c r="E2228" t="str">
        <f>"2011"</f>
        <v>2011</v>
      </c>
      <c r="F2228" t="str">
        <f>"Better Homes"</f>
        <v>Better Homes</v>
      </c>
      <c r="G2228" t="str">
        <f>"avanddanesh"</f>
        <v>avanddanesh</v>
      </c>
    </row>
    <row r="2229" spans="1:7" x14ac:dyDescent="0.25">
      <c r="A2229" t="str">
        <f>"Gastrokid Cookbook: Feeding a Foodie Family in a Fast-Food World"</f>
        <v>Gastrokid Cookbook: Feeding a Foodie Family in a Fast-Food World</v>
      </c>
      <c r="B2229" t="str">
        <f>"9780470286456"</f>
        <v>9780470286456</v>
      </c>
      <c r="C2229">
        <v>9.1999999999999993</v>
      </c>
      <c r="D2229" t="str">
        <f t="shared" si="148"/>
        <v>USD</v>
      </c>
      <c r="E2229" t="str">
        <f>"2009"</f>
        <v>2009</v>
      </c>
      <c r="F2229" t="str">
        <f>"Garvey"</f>
        <v>Garvey</v>
      </c>
      <c r="G2229" t="str">
        <f>"avanddanesh"</f>
        <v>avanddanesh</v>
      </c>
    </row>
    <row r="2230" spans="1:7" x14ac:dyDescent="0.25">
      <c r="A2230" t="str">
        <f>"Genetic Modification and Food Quality: A Down to Earth Analysis"</f>
        <v>Genetic Modification and Food Quality: A Down to Earth Analysis</v>
      </c>
      <c r="B2230" t="str">
        <f>"9781118756416"</f>
        <v>9781118756416</v>
      </c>
      <c r="C2230">
        <v>132</v>
      </c>
      <c r="D2230" t="str">
        <f t="shared" si="148"/>
        <v>USD</v>
      </c>
      <c r="E2230" t="str">
        <f>"2015"</f>
        <v>2015</v>
      </c>
      <c r="F2230" t="str">
        <f>"Blair"</f>
        <v>Blair</v>
      </c>
      <c r="G2230" t="str">
        <f>"avanddanesh"</f>
        <v>avanddanesh</v>
      </c>
    </row>
    <row r="2231" spans="1:7" x14ac:dyDescent="0.25">
      <c r="A2231" t="str">
        <f>"Genetically Modified and non-Genetically Modified Food Supply Chains: Co-Existence and Traceability"</f>
        <v>Genetically Modified and non-Genetically Modified Food Supply Chains: Co-Existence and Traceability</v>
      </c>
      <c r="B2231" t="str">
        <f>"9781444337785"</f>
        <v>9781444337785</v>
      </c>
      <c r="C2231">
        <v>123</v>
      </c>
      <c r="D2231" t="str">
        <f t="shared" si="148"/>
        <v>USD</v>
      </c>
      <c r="E2231" t="str">
        <f>"2012"</f>
        <v>2012</v>
      </c>
      <c r="F2231" t="str">
        <f>"Bertheau"</f>
        <v>Bertheau</v>
      </c>
      <c r="G2231" t="str">
        <f>"avanddanesh"</f>
        <v>avanddanesh</v>
      </c>
    </row>
    <row r="2232" spans="1:7" x14ac:dyDescent="0.25">
      <c r="A2232" t="str">
        <f>"Genetically Modified Foods: Basics, Applications, and Controversy"</f>
        <v>Genetically Modified Foods: Basics, Applications, and Controversy</v>
      </c>
      <c r="B2232" t="str">
        <f>"9781482242812"</f>
        <v>9781482242812</v>
      </c>
      <c r="C2232">
        <v>92.65</v>
      </c>
      <c r="D2232" t="str">
        <f>"GBP"</f>
        <v>GBP</v>
      </c>
      <c r="E2232" t="str">
        <f>"2016"</f>
        <v>2016</v>
      </c>
      <c r="F2232" t="str">
        <f>"Salah E. O. Mahgoub"</f>
        <v>Salah E. O. Mahgoub</v>
      </c>
      <c r="G2232" t="str">
        <f>"AsarBartar"</f>
        <v>AsarBartar</v>
      </c>
    </row>
    <row r="2233" spans="1:7" x14ac:dyDescent="0.25">
      <c r="A2233" t="str">
        <f>"Genetically Modified Organisms In Food, Production"</f>
        <v>Genetically Modified Organisms In Food, Production</v>
      </c>
      <c r="B2233" t="str">
        <f>"9780128022597"</f>
        <v>9780128022597</v>
      </c>
      <c r="C2233">
        <v>135</v>
      </c>
      <c r="D2233" t="str">
        <f>"USD"</f>
        <v>USD</v>
      </c>
      <c r="E2233" t="str">
        <f>"2015"</f>
        <v>2015</v>
      </c>
      <c r="F2233" t="str">
        <f>"N/A*"</f>
        <v>N/A*</v>
      </c>
      <c r="G2233" t="str">
        <f>"dehkadehketab"</f>
        <v>dehkadehketab</v>
      </c>
    </row>
    <row r="2234" spans="1:7" x14ac:dyDescent="0.25">
      <c r="A2234" t="str">
        <f>"Genomics, Proteomics and Metabolomics in Nutraceuticals and Functional Foods,2e"</f>
        <v>Genomics, Proteomics and Metabolomics in Nutraceuticals and Functional Foods,2e</v>
      </c>
      <c r="B2234" t="str">
        <f>"9781118930427"</f>
        <v>9781118930427</v>
      </c>
      <c r="C2234">
        <v>168</v>
      </c>
      <c r="D2234" t="str">
        <f>"USD"</f>
        <v>USD</v>
      </c>
      <c r="E2234" t="str">
        <f>"2015"</f>
        <v>2015</v>
      </c>
      <c r="F2234" t="str">
        <f>"Bagchi"</f>
        <v>Bagchi</v>
      </c>
      <c r="G2234" t="str">
        <f>"avanddanesh"</f>
        <v>avanddanesh</v>
      </c>
    </row>
    <row r="2235" spans="1:7" x14ac:dyDescent="0.25">
      <c r="A2235" t="str">
        <f>"Glass Transition and Phase Transitions in Food and Biological Materials"</f>
        <v>Glass Transition and Phase Transitions in Food and Biological Materials</v>
      </c>
      <c r="B2235" t="str">
        <f>"9781118935729"</f>
        <v>9781118935729</v>
      </c>
      <c r="C2235">
        <v>171</v>
      </c>
      <c r="D2235" t="str">
        <f>"USD"</f>
        <v>USD</v>
      </c>
      <c r="E2235" t="str">
        <f>"2017"</f>
        <v>2017</v>
      </c>
      <c r="F2235" t="str">
        <f>"Ahmed"</f>
        <v>Ahmed</v>
      </c>
      <c r="G2235" t="str">
        <f>"avanddanesh"</f>
        <v>avanddanesh</v>
      </c>
    </row>
    <row r="2236" spans="1:7" x14ac:dyDescent="0.25">
      <c r="A2236" t="str">
        <f>"Global Cheesemaking Technology: Cheese Quality and Characteristics"</f>
        <v>Global Cheesemaking Technology: Cheese Quality and Characteristics</v>
      </c>
      <c r="B2236" t="str">
        <f>"9781119046158"</f>
        <v>9781119046158</v>
      </c>
      <c r="C2236">
        <v>180</v>
      </c>
      <c r="D2236" t="str">
        <f>"USD"</f>
        <v>USD</v>
      </c>
      <c r="E2236" t="str">
        <f>"2017"</f>
        <v>2017</v>
      </c>
      <c r="F2236" t="str">
        <f>"Papademas"</f>
        <v>Papademas</v>
      </c>
      <c r="G2236" t="str">
        <f>"avanddanesh"</f>
        <v>avanddanesh</v>
      </c>
    </row>
    <row r="2237" spans="1:7" x14ac:dyDescent="0.25">
      <c r="A2237" t="str">
        <f>"GLOBAL FOOD FUTURES"</f>
        <v>GLOBAL FOOD FUTURES</v>
      </c>
      <c r="B2237" t="str">
        <f>"9780857851550"</f>
        <v>9780857851550</v>
      </c>
      <c r="C2237">
        <v>15.6</v>
      </c>
      <c r="D2237" t="str">
        <f>"GBP"</f>
        <v>GBP</v>
      </c>
      <c r="E2237" t="str">
        <f>"2013"</f>
        <v>2013</v>
      </c>
      <c r="F2237" t="str">
        <f>"BRIAN GARDNER"</f>
        <v>BRIAN GARDNER</v>
      </c>
      <c r="G2237" t="str">
        <f>"AsarBartar"</f>
        <v>AsarBartar</v>
      </c>
    </row>
    <row r="2238" spans="1:7" x14ac:dyDescent="0.25">
      <c r="A2238" t="str">
        <f>"Global Food Legislation: An Overview"</f>
        <v>Global Food Legislation: An Overview</v>
      </c>
      <c r="B2238" t="str">
        <f>"9783527335558"</f>
        <v>9783527335558</v>
      </c>
      <c r="C2238">
        <v>135.80000000000001</v>
      </c>
      <c r="D2238" t="str">
        <f t="shared" ref="D2238:D2248" si="149">"USD"</f>
        <v>USD</v>
      </c>
      <c r="E2238" t="str">
        <f>"2014"</f>
        <v>2014</v>
      </c>
      <c r="F2238" t="str">
        <f>"Kirchsteiger-Meier"</f>
        <v>Kirchsteiger-Meier</v>
      </c>
      <c r="G2238" t="str">
        <f>"avanddanesh"</f>
        <v>avanddanesh</v>
      </c>
    </row>
    <row r="2239" spans="1:7" x14ac:dyDescent="0.25">
      <c r="A2239" t="str">
        <f>"Global Food Security and Supply"</f>
        <v>Global Food Security and Supply</v>
      </c>
      <c r="B2239" t="str">
        <f>"9781118699324"</f>
        <v>9781118699324</v>
      </c>
      <c r="C2239">
        <v>48.8</v>
      </c>
      <c r="D2239" t="str">
        <f t="shared" si="149"/>
        <v>USD</v>
      </c>
      <c r="E2239" t="str">
        <f>"2014"</f>
        <v>2014</v>
      </c>
      <c r="F2239" t="str">
        <f>"Martindale"</f>
        <v>Martindale</v>
      </c>
      <c r="G2239" t="str">
        <f>"avanddanesh"</f>
        <v>avanddanesh</v>
      </c>
    </row>
    <row r="2240" spans="1:7" x14ac:dyDescent="0.25">
      <c r="A2240" t="str">
        <f>"Global Legislation for Food Packaging Materials"</f>
        <v>Global Legislation for Food Packaging Materials</v>
      </c>
      <c r="B2240" t="str">
        <f>"9783527319121"</f>
        <v>9783527319121</v>
      </c>
      <c r="C2240">
        <v>151.19999999999999</v>
      </c>
      <c r="D2240" t="str">
        <f t="shared" si="149"/>
        <v>USD</v>
      </c>
      <c r="E2240" t="str">
        <f>"2010"</f>
        <v>2010</v>
      </c>
      <c r="F2240" t="str">
        <f>"Rijk"</f>
        <v>Rijk</v>
      </c>
      <c r="G2240" t="str">
        <f>"safirketab"</f>
        <v>safirketab</v>
      </c>
    </row>
    <row r="2241" spans="1:7" x14ac:dyDescent="0.25">
      <c r="A2241" t="str">
        <f>"Gloriously Gluten-Free Cookbook: Spicing Up Life with Italian, Asian, and Mexican Recipes"</f>
        <v>Gloriously Gluten-Free Cookbook: Spicing Up Life with Italian, Asian, and Mexican Recipes</v>
      </c>
      <c r="B2241" t="str">
        <f>"9780470440889"</f>
        <v>9780470440889</v>
      </c>
      <c r="C2241">
        <v>8</v>
      </c>
      <c r="D2241" t="str">
        <f t="shared" si="149"/>
        <v>USD</v>
      </c>
      <c r="E2241" t="str">
        <f>"2010"</f>
        <v>2010</v>
      </c>
      <c r="F2241" t="str">
        <f>"Maltin"</f>
        <v>Maltin</v>
      </c>
      <c r="G2241" t="str">
        <f>"avanddanesh"</f>
        <v>avanddanesh</v>
      </c>
    </row>
    <row r="2242" spans="1:7" x14ac:dyDescent="0.25">
      <c r="A2242" t="str">
        <f>"Glucose Syrups: Technology and Applications"</f>
        <v>Glucose Syrups: Technology and Applications</v>
      </c>
      <c r="B2242" t="str">
        <f>"9781405175562"</f>
        <v>9781405175562</v>
      </c>
      <c r="C2242">
        <v>80</v>
      </c>
      <c r="D2242" t="str">
        <f t="shared" si="149"/>
        <v>USD</v>
      </c>
      <c r="E2242" t="str">
        <f>"2010"</f>
        <v>2010</v>
      </c>
      <c r="F2242" t="str">
        <f>"Hull"</f>
        <v>Hull</v>
      </c>
      <c r="G2242" t="str">
        <f>"avanddanesh"</f>
        <v>avanddanesh</v>
      </c>
    </row>
    <row r="2243" spans="1:7" x14ac:dyDescent="0.25">
      <c r="A2243" t="str">
        <f>"Glucose Syrups:Technology and Applications"</f>
        <v>Glucose Syrups:Technology and Applications</v>
      </c>
      <c r="B2243" t="str">
        <f>"9781405175562"</f>
        <v>9781405175562</v>
      </c>
      <c r="C2243">
        <v>80</v>
      </c>
      <c r="D2243" t="str">
        <f t="shared" si="149"/>
        <v>USD</v>
      </c>
      <c r="E2243" t="str">
        <f>"2010"</f>
        <v>2010</v>
      </c>
      <c r="F2243" t="str">
        <f>"Hull"</f>
        <v>Hull</v>
      </c>
      <c r="G2243" t="str">
        <f>"safirketab"</f>
        <v>safirketab</v>
      </c>
    </row>
    <row r="2244" spans="1:7" x14ac:dyDescent="0.25">
      <c r="A2244" t="str">
        <f>"Gluten-Free Cooking For Dummies,2e"</f>
        <v>Gluten-Free Cooking For Dummies,2e</v>
      </c>
      <c r="B2244" t="str">
        <f>"9781118396445"</f>
        <v>9781118396445</v>
      </c>
      <c r="C2244">
        <v>12</v>
      </c>
      <c r="D2244" t="str">
        <f t="shared" si="149"/>
        <v>USD</v>
      </c>
      <c r="E2244" t="str">
        <f>"2012"</f>
        <v>2012</v>
      </c>
      <c r="F2244" t="str">
        <f>"Korn"</f>
        <v>Korn</v>
      </c>
      <c r="G2244" t="str">
        <f>"avanddanesh"</f>
        <v>avanddanesh</v>
      </c>
    </row>
    <row r="2245" spans="1:7" x14ac:dyDescent="0.25">
      <c r="A2245" t="str">
        <f>"Gluten-Free Food Science and Technology"</f>
        <v>Gluten-Free Food Science and Technology</v>
      </c>
      <c r="B2245" t="str">
        <f>"9781405159159"</f>
        <v>9781405159159</v>
      </c>
      <c r="C2245">
        <v>138.57</v>
      </c>
      <c r="D2245" t="str">
        <f t="shared" si="149"/>
        <v>USD</v>
      </c>
      <c r="E2245" t="str">
        <f>"2009"</f>
        <v>2009</v>
      </c>
      <c r="F2245" t="str">
        <f>"Gallagher"</f>
        <v>Gallagher</v>
      </c>
      <c r="G2245" t="str">
        <f>"safirketab"</f>
        <v>safirketab</v>
      </c>
    </row>
    <row r="2246" spans="1:7" x14ac:dyDescent="0.25">
      <c r="A2246" t="str">
        <f>"Green Smoothies For Dummies"</f>
        <v>Green Smoothies For Dummies</v>
      </c>
      <c r="B2246" t="str">
        <f>"9781118871164"</f>
        <v>9781118871164</v>
      </c>
      <c r="C2246">
        <v>13.5</v>
      </c>
      <c r="D2246" t="str">
        <f t="shared" si="149"/>
        <v>USD</v>
      </c>
      <c r="E2246" t="str">
        <f>"2014"</f>
        <v>2014</v>
      </c>
      <c r="F2246" t="str">
        <f>"Thompson"</f>
        <v>Thompson</v>
      </c>
      <c r="G2246" t="str">
        <f>"avanddanesh"</f>
        <v>avanddanesh</v>
      </c>
    </row>
    <row r="2247" spans="1:7" x14ac:dyDescent="0.25">
      <c r="A2247" t="str">
        <f>"Guide to Food Laws and Regulations"</f>
        <v>Guide to Food Laws and Regulations</v>
      </c>
      <c r="B2247" t="str">
        <f>"9780813819464"</f>
        <v>9780813819464</v>
      </c>
      <c r="C2247">
        <v>41.99</v>
      </c>
      <c r="D2247" t="str">
        <f t="shared" si="149"/>
        <v>USD</v>
      </c>
      <c r="E2247" t="str">
        <f>"2005"</f>
        <v>2005</v>
      </c>
      <c r="F2247" t="str">
        <f>"Curtis"</f>
        <v>Curtis</v>
      </c>
      <c r="G2247" t="str">
        <f>"safirketab"</f>
        <v>safirketab</v>
      </c>
    </row>
    <row r="2248" spans="1:7" x14ac:dyDescent="0.25">
      <c r="A2248" t="str">
        <f>"Gum Arabic, Structure, Properties, Application and Economics"</f>
        <v>Gum Arabic, Structure, Properties, Application and Economics</v>
      </c>
      <c r="B2248" t="str">
        <f>"9780128119952"</f>
        <v>9780128119952</v>
      </c>
      <c r="C2248">
        <v>157.5</v>
      </c>
      <c r="D2248" t="str">
        <f t="shared" si="149"/>
        <v>USD</v>
      </c>
      <c r="E2248" t="str">
        <f>"2018"</f>
        <v>2018</v>
      </c>
      <c r="F2248" t="str">
        <f>"Mariod"</f>
        <v>Mariod</v>
      </c>
      <c r="G2248" t="str">
        <f>"dehkadehketab"</f>
        <v>dehkadehketab</v>
      </c>
    </row>
    <row r="2249" spans="1:7" x14ac:dyDescent="0.25">
      <c r="A2249" t="str">
        <f>"Gums and Stabilisers for the Food Industry 17: The Changing Face of Food Manufacture: The Role of Hydrocolloids"</f>
        <v>Gums and Stabilisers for the Food Industry 17: The Changing Face of Food Manufacture: The Role of Hydrocolloids</v>
      </c>
      <c r="B2249" t="str">
        <f>"9781849738835"</f>
        <v>9781849738835</v>
      </c>
      <c r="C2249">
        <v>66</v>
      </c>
      <c r="D2249" t="str">
        <f>"GBP"</f>
        <v>GBP</v>
      </c>
      <c r="E2249" t="str">
        <f>"2014"</f>
        <v>2014</v>
      </c>
      <c r="F2249" t="str">
        <f>"Peter Williams(Edito"</f>
        <v>Peter Williams(Edito</v>
      </c>
      <c r="G2249" t="str">
        <f>"arzinbooks"</f>
        <v>arzinbooks</v>
      </c>
    </row>
    <row r="2250" spans="1:7" x14ac:dyDescent="0.25">
      <c r="A2250" t="str">
        <f>"Gut Microbiota, Interactive Effects on Nutrition and Health"</f>
        <v>Gut Microbiota, Interactive Effects on Nutrition and Health</v>
      </c>
      <c r="B2250" t="str">
        <f>"9780128105238"</f>
        <v>9780128105238</v>
      </c>
      <c r="C2250">
        <v>89.95</v>
      </c>
      <c r="D2250" t="str">
        <f t="shared" ref="D2250:D2258" si="150">"USD"</f>
        <v>USD</v>
      </c>
      <c r="E2250" t="str">
        <f>"2018"</f>
        <v>2018</v>
      </c>
      <c r="F2250" t="str">
        <f>"Ishiguro et al"</f>
        <v>Ishiguro et al</v>
      </c>
      <c r="G2250" t="str">
        <f>"dehkadehketab"</f>
        <v>dehkadehketab</v>
      </c>
    </row>
    <row r="2251" spans="1:7" x14ac:dyDescent="0.25">
      <c r="A2251" t="str">
        <f>"HACCP: A Food Industry Briefing,2e"</f>
        <v>HACCP: A Food Industry Briefing,2e</v>
      </c>
      <c r="B2251" t="str">
        <f>"9781118427231"</f>
        <v>9781118427231</v>
      </c>
      <c r="C2251">
        <v>36</v>
      </c>
      <c r="D2251" t="str">
        <f t="shared" si="150"/>
        <v>USD</v>
      </c>
      <c r="E2251" t="str">
        <f>"2015"</f>
        <v>2015</v>
      </c>
      <c r="F2251" t="str">
        <f>"Mortimore"</f>
        <v>Mortimore</v>
      </c>
      <c r="G2251" t="str">
        <f>"avanddanesh"</f>
        <v>avanddanesh</v>
      </c>
    </row>
    <row r="2252" spans="1:7" x14ac:dyDescent="0.25">
      <c r="A2252" t="str">
        <f>"Halophytes For Food Security In Dry Lands"</f>
        <v>Halophytes For Food Security In Dry Lands</v>
      </c>
      <c r="B2252" t="str">
        <f>"9780128018545"</f>
        <v>9780128018545</v>
      </c>
      <c r="C2252">
        <v>90</v>
      </c>
      <c r="D2252" t="str">
        <f t="shared" si="150"/>
        <v>USD</v>
      </c>
      <c r="E2252" t="str">
        <f>"2015"</f>
        <v>2015</v>
      </c>
      <c r="F2252" t="str">
        <f>"N/A*"</f>
        <v>N/A*</v>
      </c>
      <c r="G2252" t="str">
        <f>"dehkadehketab"</f>
        <v>dehkadehketab</v>
      </c>
    </row>
    <row r="2253" spans="1:7" x14ac:dyDescent="0.25">
      <c r="A2253" t="str">
        <f>"Handbook Meat Processing"</f>
        <v>Handbook Meat Processing</v>
      </c>
      <c r="B2253" t="str">
        <f>"9780813821825"</f>
        <v>9780813821825</v>
      </c>
      <c r="C2253">
        <v>224.2</v>
      </c>
      <c r="D2253" t="str">
        <f t="shared" si="150"/>
        <v>USD</v>
      </c>
      <c r="E2253" t="str">
        <f>"2010"</f>
        <v>2010</v>
      </c>
      <c r="F2253" t="str">
        <f>"Toldra"</f>
        <v>Toldra</v>
      </c>
      <c r="G2253" t="str">
        <f>"safirketab"</f>
        <v>safirketab</v>
      </c>
    </row>
    <row r="2254" spans="1:7" x14ac:dyDescent="0.25">
      <c r="A2254" t="str">
        <f>"HANDBOOK OF APPLIED NUTRITION, DIETOTHERAPY &amp; DIET MANAGEMENT, HB"</f>
        <v>HANDBOOK OF APPLIED NUTRITION, DIETOTHERAPY &amp; DIET MANAGEMENT, HB</v>
      </c>
      <c r="B2254" t="str">
        <f>"9789380090092"</f>
        <v>9789380090092</v>
      </c>
      <c r="C2254">
        <v>36.96</v>
      </c>
      <c r="D2254" t="str">
        <f t="shared" si="150"/>
        <v>USD</v>
      </c>
      <c r="E2254" t="str">
        <f>"2010"</f>
        <v>2010</v>
      </c>
      <c r="F2254" t="str">
        <f>"D'Souza "</f>
        <v xml:space="preserve">D'Souza </v>
      </c>
      <c r="G2254" t="str">
        <f>"supply"</f>
        <v>supply</v>
      </c>
    </row>
    <row r="2255" spans="1:7" x14ac:dyDescent="0.25">
      <c r="A2255" t="str">
        <f>"Handbook of Drug'Nutrient Interactions"</f>
        <v>Handbook of Drug'Nutrient Interactions</v>
      </c>
      <c r="B2255" t="str">
        <f>"9781588292490"</f>
        <v>9781588292490</v>
      </c>
      <c r="C2255">
        <v>83.43</v>
      </c>
      <c r="D2255" t="str">
        <f t="shared" si="150"/>
        <v>USD</v>
      </c>
      <c r="E2255" t="str">
        <f>"2007"</f>
        <v>2007</v>
      </c>
      <c r="F2255" t="str">
        <f>"Boullata,Joseph(Eds."</f>
        <v>Boullata,Joseph(Eds.</v>
      </c>
      <c r="G2255" t="str">
        <f>"safirketab"</f>
        <v>safirketab</v>
      </c>
    </row>
    <row r="2256" spans="1:7" x14ac:dyDescent="0.25">
      <c r="A2256" t="str">
        <f>"Handbook of Drying for Dairy Products"</f>
        <v>Handbook of Drying for Dairy Products</v>
      </c>
      <c r="B2256" t="str">
        <f>"9781118930496"</f>
        <v>9781118930496</v>
      </c>
      <c r="C2256">
        <v>148.5</v>
      </c>
      <c r="D2256" t="str">
        <f t="shared" si="150"/>
        <v>USD</v>
      </c>
      <c r="E2256" t="str">
        <f>"2017"</f>
        <v>2017</v>
      </c>
      <c r="F2256" t="str">
        <f>"Anandharamakris"</f>
        <v>Anandharamakris</v>
      </c>
      <c r="G2256" t="str">
        <f>"avanddanesh"</f>
        <v>avanddanesh</v>
      </c>
    </row>
    <row r="2257" spans="1:7" x14ac:dyDescent="0.25">
      <c r="A2257" t="str">
        <f>"Handbook of Fermented Meat and Poultry"</f>
        <v>Handbook of Fermented Meat and Poultry</v>
      </c>
      <c r="B2257" t="str">
        <f>"9780813814773"</f>
        <v>9780813814773</v>
      </c>
      <c r="C2257">
        <v>111.6</v>
      </c>
      <c r="D2257" t="str">
        <f t="shared" si="150"/>
        <v>USD</v>
      </c>
      <c r="E2257" t="str">
        <f>"2007"</f>
        <v>2007</v>
      </c>
      <c r="F2257" t="str">
        <f>"Toldr"</f>
        <v>Toldr</v>
      </c>
      <c r="G2257" t="str">
        <f>"avanddanesh"</f>
        <v>avanddanesh</v>
      </c>
    </row>
    <row r="2258" spans="1:7" x14ac:dyDescent="0.25">
      <c r="A2258" t="str">
        <f>"Handbook of Fermented Meat and Poultry,2e"</f>
        <v>Handbook of Fermented Meat and Poultry,2e</v>
      </c>
      <c r="B2258" t="str">
        <f>"9781118522691"</f>
        <v>9781118522691</v>
      </c>
      <c r="C2258">
        <v>150</v>
      </c>
      <c r="D2258" t="str">
        <f t="shared" si="150"/>
        <v>USD</v>
      </c>
      <c r="E2258" t="str">
        <f>"2014"</f>
        <v>2014</v>
      </c>
      <c r="F2258" t="str">
        <f>"Toldr?"</f>
        <v>Toldr?</v>
      </c>
      <c r="G2258" t="str">
        <f>"avanddanesh"</f>
        <v>avanddanesh</v>
      </c>
    </row>
    <row r="2259" spans="1:7" x14ac:dyDescent="0.25">
      <c r="A2259" t="str">
        <f>"Handbook of Food Chemistry"</f>
        <v>Handbook of Food Chemistry</v>
      </c>
      <c r="B2259" t="str">
        <f>"9783642366048"</f>
        <v>9783642366048</v>
      </c>
      <c r="C2259">
        <v>386.1</v>
      </c>
      <c r="D2259" t="str">
        <f>"EUR"</f>
        <v>EUR</v>
      </c>
      <c r="E2259" t="str">
        <f>"2015"</f>
        <v>2015</v>
      </c>
      <c r="F2259" t="str">
        <f>"Cheung"</f>
        <v>Cheung</v>
      </c>
      <c r="G2259" t="str">
        <f>"negarestanabi"</f>
        <v>negarestanabi</v>
      </c>
    </row>
    <row r="2260" spans="1:7" x14ac:dyDescent="0.25">
      <c r="A2260" t="str">
        <f>"Handbook of Food Powders, Processes and Properties"</f>
        <v>Handbook of Food Powders, Processes and Properties</v>
      </c>
      <c r="B2260" t="str">
        <f>"9780081014158"</f>
        <v>9780081014158</v>
      </c>
      <c r="C2260">
        <v>283.5</v>
      </c>
      <c r="D2260" t="str">
        <f>"USD"</f>
        <v>USD</v>
      </c>
      <c r="E2260" t="str">
        <f>"2017"</f>
        <v>2017</v>
      </c>
      <c r="F2260" t="str">
        <f>"Bhandari et al"</f>
        <v>Bhandari et al</v>
      </c>
      <c r="G2260" t="str">
        <f>"dehkadehketab"</f>
        <v>dehkadehketab</v>
      </c>
    </row>
    <row r="2261" spans="1:7" x14ac:dyDescent="0.25">
      <c r="A2261" t="str">
        <f>"Handbook of Food Processing Equipment. 2/ed"</f>
        <v>Handbook of Food Processing Equipment. 2/ed</v>
      </c>
      <c r="B2261" t="str">
        <f>"9783319250182"</f>
        <v>9783319250182</v>
      </c>
      <c r="C2261">
        <v>152.99</v>
      </c>
      <c r="D2261" t="str">
        <f>"EUR"</f>
        <v>EUR</v>
      </c>
      <c r="E2261" t="str">
        <f>"2016"</f>
        <v>2016</v>
      </c>
      <c r="F2261" t="str">
        <f>"Saravacos"</f>
        <v>Saravacos</v>
      </c>
      <c r="G2261" t="str">
        <f>"negarestanabi"</f>
        <v>negarestanabi</v>
      </c>
    </row>
    <row r="2262" spans="1:7" x14ac:dyDescent="0.25">
      <c r="A2262" t="str">
        <f>"HANDBOOK OF FOOD PROCESSING, PACKAGING AND LABELING, HB"</f>
        <v>HANDBOOK OF FOOD PROCESSING, PACKAGING AND LABELING, HB</v>
      </c>
      <c r="B2262" t="str">
        <f>"9789380090108"</f>
        <v>9789380090108</v>
      </c>
      <c r="C2262">
        <v>36.96</v>
      </c>
      <c r="D2262" t="str">
        <f t="shared" ref="D2262:D2281" si="151">"USD"</f>
        <v>USD</v>
      </c>
      <c r="E2262" t="str">
        <f>"2010"</f>
        <v>2010</v>
      </c>
      <c r="F2262" t="str">
        <f>"D'Souza "</f>
        <v xml:space="preserve">D'Souza </v>
      </c>
      <c r="G2262" t="str">
        <f>"supply"</f>
        <v>supply</v>
      </c>
    </row>
    <row r="2263" spans="1:7" x14ac:dyDescent="0.25">
      <c r="A2263" t="str">
        <f>"Handbook of Food Products Manufacturing, 2V Set"</f>
        <v>Handbook of Food Products Manufacturing, 2V Set</v>
      </c>
      <c r="B2263" t="str">
        <f>"9780470049648"</f>
        <v>9780470049648</v>
      </c>
      <c r="C2263">
        <v>296</v>
      </c>
      <c r="D2263" t="str">
        <f t="shared" si="151"/>
        <v>USD</v>
      </c>
      <c r="E2263" t="str">
        <f>"2007"</f>
        <v>2007</v>
      </c>
      <c r="F2263" t="str">
        <f>"Hui"</f>
        <v>Hui</v>
      </c>
      <c r="G2263" t="str">
        <f t="shared" ref="G2263:G2268" si="152">"avanddanesh"</f>
        <v>avanddanesh</v>
      </c>
    </row>
    <row r="2264" spans="1:7" x14ac:dyDescent="0.25">
      <c r="A2264" t="str">
        <f>"Handbook of Food Products Manufacturing: Health, Meat, Milk, Poultry, Seafood, and Vegetables"</f>
        <v>Handbook of Food Products Manufacturing: Health, Meat, Milk, Poultry, Seafood, and Vegetables</v>
      </c>
      <c r="B2264" t="str">
        <f>"9780470125250"</f>
        <v>9780470125250</v>
      </c>
      <c r="C2264">
        <v>173.2</v>
      </c>
      <c r="D2264" t="str">
        <f t="shared" si="151"/>
        <v>USD</v>
      </c>
      <c r="E2264" t="str">
        <f>"2007"</f>
        <v>2007</v>
      </c>
      <c r="F2264" t="str">
        <f>"Hui"</f>
        <v>Hui</v>
      </c>
      <c r="G2264" t="str">
        <f t="shared" si="152"/>
        <v>avanddanesh</v>
      </c>
    </row>
    <row r="2265" spans="1:7" x14ac:dyDescent="0.25">
      <c r="A2265" t="str">
        <f>"Handbook of Food Safety Engineering"</f>
        <v>Handbook of Food Safety Engineering</v>
      </c>
      <c r="B2265" t="str">
        <f>"9781444333343"</f>
        <v>9781444333343</v>
      </c>
      <c r="C2265">
        <v>132</v>
      </c>
      <c r="D2265" t="str">
        <f t="shared" si="151"/>
        <v>USD</v>
      </c>
      <c r="E2265" t="str">
        <f>"2011"</f>
        <v>2011</v>
      </c>
      <c r="F2265" t="str">
        <f>"Sun"</f>
        <v>Sun</v>
      </c>
      <c r="G2265" t="str">
        <f t="shared" si="152"/>
        <v>avanddanesh</v>
      </c>
    </row>
    <row r="2266" spans="1:7" x14ac:dyDescent="0.25">
      <c r="A2266" t="str">
        <f>"Handbook of Food Science and Technology 1: Food Alteration and Food Quality"</f>
        <v>Handbook of Food Science and Technology 1: Food Alteration and Food Quality</v>
      </c>
      <c r="B2266" t="str">
        <f>"9781848219328"</f>
        <v>9781848219328</v>
      </c>
      <c r="C2266">
        <v>106.3</v>
      </c>
      <c r="D2266" t="str">
        <f t="shared" si="151"/>
        <v>USD</v>
      </c>
      <c r="E2266" t="str">
        <f>"2016"</f>
        <v>2016</v>
      </c>
      <c r="F2266" t="str">
        <f>"Jeantet"</f>
        <v>Jeantet</v>
      </c>
      <c r="G2266" t="str">
        <f t="shared" si="152"/>
        <v>avanddanesh</v>
      </c>
    </row>
    <row r="2267" spans="1:7" x14ac:dyDescent="0.25">
      <c r="A2267" t="str">
        <f>"Handbook of Food Science and Technology 2: Food Process Engineering and Packaging"</f>
        <v>Handbook of Food Science and Technology 2: Food Process Engineering and Packaging</v>
      </c>
      <c r="B2267" t="str">
        <f>"9781848219335"</f>
        <v>9781848219335</v>
      </c>
      <c r="C2267">
        <v>114.8</v>
      </c>
      <c r="D2267" t="str">
        <f t="shared" si="151"/>
        <v>USD</v>
      </c>
      <c r="E2267" t="str">
        <f>"2016"</f>
        <v>2016</v>
      </c>
      <c r="F2267" t="str">
        <f>"Jeantet"</f>
        <v>Jeantet</v>
      </c>
      <c r="G2267" t="str">
        <f t="shared" si="152"/>
        <v>avanddanesh</v>
      </c>
    </row>
    <row r="2268" spans="1:7" x14ac:dyDescent="0.25">
      <c r="A2268" t="str">
        <f>"Handbook of Food Science and Technology 3: Food Biochemistry and Technology"</f>
        <v>Handbook of Food Science and Technology 3: Food Biochemistry and Technology</v>
      </c>
      <c r="B2268" t="str">
        <f>"9781848219342"</f>
        <v>9781848219342</v>
      </c>
      <c r="C2268">
        <v>123.3</v>
      </c>
      <c r="D2268" t="str">
        <f t="shared" si="151"/>
        <v>USD</v>
      </c>
      <c r="E2268" t="str">
        <f>"2016"</f>
        <v>2016</v>
      </c>
      <c r="F2268" t="str">
        <f>"Jeantet"</f>
        <v>Jeantet</v>
      </c>
      <c r="G2268" t="str">
        <f t="shared" si="152"/>
        <v>avanddanesh</v>
      </c>
    </row>
    <row r="2269" spans="1:7" x14ac:dyDescent="0.25">
      <c r="A2269" t="str">
        <f>"HANDBOOK OF FOOD SCIENCE, CATERING TECHNOLOGY AND KITCHEN MANAGEMENT, HB"</f>
        <v>HANDBOOK OF FOOD SCIENCE, CATERING TECHNOLOGY AND KITCHEN MANAGEMENT, HB</v>
      </c>
      <c r="B2269" t="str">
        <f>"9789380090115"</f>
        <v>9789380090115</v>
      </c>
      <c r="C2269">
        <v>36.96</v>
      </c>
      <c r="D2269" t="str">
        <f t="shared" si="151"/>
        <v>USD</v>
      </c>
      <c r="E2269" t="str">
        <f>"2010"</f>
        <v>2010</v>
      </c>
      <c r="F2269" t="str">
        <f>"D'Souza "</f>
        <v xml:space="preserve">D'Souza </v>
      </c>
      <c r="G2269" t="str">
        <f>"supply"</f>
        <v>supply</v>
      </c>
    </row>
    <row r="2270" spans="1:7" x14ac:dyDescent="0.25">
      <c r="A2270" t="str">
        <f>"Handbook of Fruit and Vegetable Flavors"</f>
        <v>Handbook of Fruit and Vegetable Flavors</v>
      </c>
      <c r="B2270" t="str">
        <f>"9780470227213"</f>
        <v>9780470227213</v>
      </c>
      <c r="C2270">
        <v>141.6</v>
      </c>
      <c r="D2270" t="str">
        <f t="shared" si="151"/>
        <v>USD</v>
      </c>
      <c r="E2270" t="str">
        <f>"2010"</f>
        <v>2010</v>
      </c>
      <c r="F2270" t="str">
        <f>"Hui"</f>
        <v>Hui</v>
      </c>
      <c r="G2270" t="str">
        <f>"avanddanesh"</f>
        <v>avanddanesh</v>
      </c>
    </row>
    <row r="2271" spans="1:7" x14ac:dyDescent="0.25">
      <c r="A2271" t="str">
        <f>"Handbook of Grape Processing By-Products, Sustainable Solutions"</f>
        <v>Handbook of Grape Processing By-Products, Sustainable Solutions</v>
      </c>
      <c r="B2271" t="str">
        <f>"9780128098677"</f>
        <v>9780128098677</v>
      </c>
      <c r="C2271">
        <v>135</v>
      </c>
      <c r="D2271" t="str">
        <f t="shared" si="151"/>
        <v>USD</v>
      </c>
      <c r="E2271" t="str">
        <f>"2017"</f>
        <v>2017</v>
      </c>
      <c r="F2271" t="str">
        <f>"Galanakis"</f>
        <v>Galanakis</v>
      </c>
      <c r="G2271" t="str">
        <f>"dehkadehketab"</f>
        <v>dehkadehketab</v>
      </c>
    </row>
    <row r="2272" spans="1:7" x14ac:dyDescent="0.25">
      <c r="A2272" t="str">
        <f>"Handbook of Lean Manufacturing in the Food Industry"</f>
        <v>Handbook of Lean Manufacturing in the Food Industry</v>
      </c>
      <c r="B2272" t="str">
        <f>"9781405183673"</f>
        <v>9781405183673</v>
      </c>
      <c r="C2272">
        <v>30</v>
      </c>
      <c r="D2272" t="str">
        <f t="shared" si="151"/>
        <v>USD</v>
      </c>
      <c r="E2272" t="str">
        <f>"2011"</f>
        <v>2011</v>
      </c>
      <c r="F2272" t="str">
        <f>"Dudbridge"</f>
        <v>Dudbridge</v>
      </c>
      <c r="G2272" t="str">
        <f>"safirketab"</f>
        <v>safirketab</v>
      </c>
    </row>
    <row r="2273" spans="1:7" x14ac:dyDescent="0.25">
      <c r="A2273" t="str">
        <f>"Handbook Of Lipids In Human Function, Fatty Acids"</f>
        <v>Handbook Of Lipids In Human Function, Fatty Acids</v>
      </c>
      <c r="B2273" t="str">
        <f>"9781630670368"</f>
        <v>9781630670368</v>
      </c>
      <c r="C2273">
        <v>175.5</v>
      </c>
      <c r="D2273" t="str">
        <f t="shared" si="151"/>
        <v>USD</v>
      </c>
      <c r="E2273" t="str">
        <f>"2015"</f>
        <v>2015</v>
      </c>
      <c r="F2273" t="str">
        <f>"N/A*"</f>
        <v>N/A*</v>
      </c>
      <c r="G2273" t="str">
        <f>"dehkadehketab"</f>
        <v>dehkadehketab</v>
      </c>
    </row>
    <row r="2274" spans="1:7" x14ac:dyDescent="0.25">
      <c r="A2274" t="str">
        <f>"Handbook of Mango Fruit: Production, Postharvest Science, Processing Technology and Nutrition"</f>
        <v>Handbook of Mango Fruit: Production, Postharvest Science, Processing Technology and Nutrition</v>
      </c>
      <c r="B2274" t="str">
        <f>"9781119014355"</f>
        <v>9781119014355</v>
      </c>
      <c r="C2274">
        <v>180</v>
      </c>
      <c r="D2274" t="str">
        <f t="shared" si="151"/>
        <v>USD</v>
      </c>
      <c r="E2274" t="str">
        <f>"2017"</f>
        <v>2017</v>
      </c>
      <c r="F2274" t="str">
        <f>"Siddiq"</f>
        <v>Siddiq</v>
      </c>
      <c r="G2274" t="str">
        <f>"avanddanesh"</f>
        <v>avanddanesh</v>
      </c>
    </row>
    <row r="2275" spans="1:7" x14ac:dyDescent="0.25">
      <c r="A2275" t="str">
        <f>"Handbook of Milk of Non-Bovine Mammals,2e"</f>
        <v>Handbook of Milk of Non-Bovine Mammals,2e</v>
      </c>
      <c r="B2275" t="str">
        <f>"9781119110279"</f>
        <v>9781119110279</v>
      </c>
      <c r="C2275">
        <v>225</v>
      </c>
      <c r="D2275" t="str">
        <f t="shared" si="151"/>
        <v>USD</v>
      </c>
      <c r="E2275" t="str">
        <f>"2017"</f>
        <v>2017</v>
      </c>
      <c r="F2275" t="str">
        <f>"Park"</f>
        <v>Park</v>
      </c>
      <c r="G2275" t="str">
        <f>"avanddanesh"</f>
        <v>avanddanesh</v>
      </c>
    </row>
    <row r="2276" spans="1:7" x14ac:dyDescent="0.25">
      <c r="A2276" t="str">
        <f>"Handbook of Mineral Elements in Food"</f>
        <v>Handbook of Mineral Elements in Food</v>
      </c>
      <c r="B2276" t="str">
        <f>"9781118654361"</f>
        <v>9781118654361</v>
      </c>
      <c r="C2276">
        <v>200</v>
      </c>
      <c r="D2276" t="str">
        <f t="shared" si="151"/>
        <v>USD</v>
      </c>
      <c r="E2276" t="str">
        <f>"2015"</f>
        <v>2015</v>
      </c>
      <c r="F2276" t="str">
        <f>"de la Guardia"</f>
        <v>de la Guardia</v>
      </c>
      <c r="G2276" t="str">
        <f>"avanddanesh"</f>
        <v>avanddanesh</v>
      </c>
    </row>
    <row r="2277" spans="1:7" x14ac:dyDescent="0.25">
      <c r="A2277" t="str">
        <f>"HANDBOOK OF NUTRACEUTICALS &amp; FUNCTIONAL FOODS : Soybean as an Example, HB    'NEW'"</f>
        <v>HANDBOOK OF NUTRACEUTICALS &amp; FUNCTIONAL FOODS : Soybean as an Example, HB    'NEW'</v>
      </c>
      <c r="B2277" t="str">
        <f>"9789381226728"</f>
        <v>9789381226728</v>
      </c>
      <c r="C2277">
        <v>24.5</v>
      </c>
      <c r="D2277" t="str">
        <f t="shared" si="151"/>
        <v>USD</v>
      </c>
      <c r="E2277" t="str">
        <f>"2013"</f>
        <v>2013</v>
      </c>
      <c r="F2277" t="str">
        <f>"Mangaraj S., "</f>
        <v xml:space="preserve">Mangaraj S., </v>
      </c>
      <c r="G2277" t="str">
        <f>"supply"</f>
        <v>supply</v>
      </c>
    </row>
    <row r="2278" spans="1:7" x14ac:dyDescent="0.25">
      <c r="A2278" t="str">
        <f>"Handbook of Plant Food Phytochemicals: Sources, Stability and Extraction"</f>
        <v>Handbook of Plant Food Phytochemicals: Sources, Stability and Extraction</v>
      </c>
      <c r="B2278" t="str">
        <f>"9781444338102"</f>
        <v>9781444338102</v>
      </c>
      <c r="C2278">
        <v>113.8</v>
      </c>
      <c r="D2278" t="str">
        <f t="shared" si="151"/>
        <v>USD</v>
      </c>
      <c r="E2278" t="str">
        <f>"2013"</f>
        <v>2013</v>
      </c>
      <c r="F2278" t="str">
        <f>"Tiwari"</f>
        <v>Tiwari</v>
      </c>
      <c r="G2278" t="str">
        <f>"avanddanesh"</f>
        <v>avanddanesh</v>
      </c>
    </row>
    <row r="2279" spans="1:7" x14ac:dyDescent="0.25">
      <c r="A2279" t="str">
        <f>"Handbook of Poultry Science and Technology, 2V Set"</f>
        <v>Handbook of Poultry Science and Technology, 2V Set</v>
      </c>
      <c r="B2279" t="str">
        <f>"9780470185377"</f>
        <v>9780470185377</v>
      </c>
      <c r="C2279">
        <v>177.6</v>
      </c>
      <c r="D2279" t="str">
        <f t="shared" si="151"/>
        <v>USD</v>
      </c>
      <c r="E2279" t="str">
        <f>"2010"</f>
        <v>2010</v>
      </c>
      <c r="F2279" t="str">
        <f>"Guerrero-Legarreta"</f>
        <v>Guerrero-Legarreta</v>
      </c>
      <c r="G2279" t="str">
        <f>"avanddanesh"</f>
        <v>avanddanesh</v>
      </c>
    </row>
    <row r="2280" spans="1:7" x14ac:dyDescent="0.25">
      <c r="A2280" t="str">
        <f>"Handbook of Seal Integrity in the Food Industry"</f>
        <v>Handbook of Seal Integrity in the Food Industry</v>
      </c>
      <c r="B2280" t="str">
        <f>"9781118904565"</f>
        <v>9781118904565</v>
      </c>
      <c r="C2280">
        <v>80.8</v>
      </c>
      <c r="D2280" t="str">
        <f t="shared" si="151"/>
        <v>USD</v>
      </c>
      <c r="E2280" t="str">
        <f>"2016"</f>
        <v>2016</v>
      </c>
      <c r="F2280" t="str">
        <f>"Dudbridge"</f>
        <v>Dudbridge</v>
      </c>
      <c r="G2280" t="str">
        <f>"avanddanesh"</f>
        <v>avanddanesh</v>
      </c>
    </row>
    <row r="2281" spans="1:7" x14ac:dyDescent="0.25">
      <c r="A2281" t="str">
        <f>"Handbook of Sustainability for the Food Sciences"</f>
        <v>Handbook of Sustainability for the Food Sciences</v>
      </c>
      <c r="B2281" t="str">
        <f>"9780813817354"</f>
        <v>9780813817354</v>
      </c>
      <c r="C2281">
        <v>138.6</v>
      </c>
      <c r="D2281" t="str">
        <f t="shared" si="151"/>
        <v>USD</v>
      </c>
      <c r="E2281" t="str">
        <f>"2012"</f>
        <v>2012</v>
      </c>
      <c r="F2281" t="str">
        <f>"Morawicki"</f>
        <v>Morawicki</v>
      </c>
      <c r="G2281" t="str">
        <f>"avanddanesh"</f>
        <v>avanddanesh</v>
      </c>
    </row>
    <row r="2282" spans="1:7" x14ac:dyDescent="0.25">
      <c r="A2282" t="str">
        <f>"Handbook of Vegetable Preservation and Processing, Second Edition"</f>
        <v>Handbook of Vegetable Preservation and Processing, Second Edition</v>
      </c>
      <c r="B2282" t="str">
        <f>"9781482212280"</f>
        <v>9781482212280</v>
      </c>
      <c r="C2282">
        <v>150.44999999999999</v>
      </c>
      <c r="D2282" t="str">
        <f>"GBP"</f>
        <v>GBP</v>
      </c>
      <c r="E2282" t="str">
        <f>"2016"</f>
        <v>2016</v>
      </c>
      <c r="F2282" t="str">
        <f>"Y. H. Hui(Editor),E"</f>
        <v>Y. H. Hui(Editor),E</v>
      </c>
      <c r="G2282" t="str">
        <f>"AsarBartar"</f>
        <v>AsarBartar</v>
      </c>
    </row>
    <row r="2283" spans="1:7" x14ac:dyDescent="0.25">
      <c r="A2283" t="str">
        <f>"HANDBOOK ON FERMENTED FOODS AND CHEMICALS, PB"</f>
        <v>HANDBOOK ON FERMENTED FOODS AND CHEMICALS, PB</v>
      </c>
      <c r="B2283" t="str">
        <f>"9788178331379"</f>
        <v>9788178331379</v>
      </c>
      <c r="C2283">
        <v>38.57</v>
      </c>
      <c r="D2283" t="str">
        <f t="shared" ref="D2283:D2296" si="153">"USD"</f>
        <v>USD</v>
      </c>
      <c r="E2283" t="str">
        <f>"2011"</f>
        <v>2011</v>
      </c>
      <c r="F2283" t="str">
        <f>"Npcs Board"</f>
        <v>Npcs Board</v>
      </c>
      <c r="G2283" t="str">
        <f>"supply"</f>
        <v>supply</v>
      </c>
    </row>
    <row r="2284" spans="1:7" x14ac:dyDescent="0.25">
      <c r="A2284" t="str">
        <f>"HANDBOOK ON MILK AND MILK PROTEINS, PB"</f>
        <v>HANDBOOK ON MILK AND MILK PROTEINS, PB</v>
      </c>
      <c r="B2284" t="str">
        <f>"9788178331485"</f>
        <v>9788178331485</v>
      </c>
      <c r="C2284">
        <v>26.25</v>
      </c>
      <c r="D2284" t="str">
        <f t="shared" si="153"/>
        <v>USD</v>
      </c>
      <c r="E2284" t="str">
        <f>"2011"</f>
        <v>2011</v>
      </c>
      <c r="F2284" t="str">
        <f>"Panda"</f>
        <v>Panda</v>
      </c>
      <c r="G2284" t="str">
        <f>"supply"</f>
        <v>supply</v>
      </c>
    </row>
    <row r="2285" spans="1:7" x14ac:dyDescent="0.25">
      <c r="A2285" t="str">
        <f>"Hands-Off Cooking: Low-Supervision, High-Flavor Meals for Busy People"</f>
        <v>Hands-Off Cooking: Low-Supervision, High-Flavor Meals for Busy People</v>
      </c>
      <c r="B2285" t="str">
        <f>"9780471756811"</f>
        <v>9780471756811</v>
      </c>
      <c r="C2285">
        <v>7.2</v>
      </c>
      <c r="D2285" t="str">
        <f t="shared" si="153"/>
        <v>USD</v>
      </c>
      <c r="E2285" t="str">
        <f>"2007"</f>
        <v>2007</v>
      </c>
      <c r="F2285" t="str">
        <f>"Rolke"</f>
        <v>Rolke</v>
      </c>
      <c r="G2285" t="str">
        <f>"avanddanesh"</f>
        <v>avanddanesh</v>
      </c>
    </row>
    <row r="2286" spans="1:7" x14ac:dyDescent="0.25">
      <c r="A2286" t="str">
        <f>"Hazard Analysis and Risk Based Preventative Controls, Delivering on the Greater Expecatations in Food Safety"</f>
        <v>Hazard Analysis and Risk Based Preventative Controls, Delivering on the Greater Expecatations in Food Safety</v>
      </c>
      <c r="B2286" t="str">
        <f>"9780128111802"</f>
        <v>9780128111802</v>
      </c>
      <c r="C2286">
        <v>135</v>
      </c>
      <c r="D2286" t="str">
        <f t="shared" si="153"/>
        <v>USD</v>
      </c>
      <c r="E2286" t="str">
        <f>"2017"</f>
        <v>2017</v>
      </c>
      <c r="F2286" t="str">
        <f>"Wester"</f>
        <v>Wester</v>
      </c>
      <c r="G2286" t="str">
        <f>"dehkadehketab"</f>
        <v>dehkadehketab</v>
      </c>
    </row>
    <row r="2287" spans="1:7" x14ac:dyDescent="0.25">
      <c r="A2287" t="str">
        <f>"HDBK of Fruit and Vegetable Flavors"</f>
        <v>HDBK of Fruit and Vegetable Flavors</v>
      </c>
      <c r="B2287" t="str">
        <f>"9780470227213"</f>
        <v>9780470227213</v>
      </c>
      <c r="C2287">
        <v>141.6</v>
      </c>
      <c r="D2287" t="str">
        <f t="shared" si="153"/>
        <v>USD</v>
      </c>
      <c r="E2287" t="str">
        <f>"2010"</f>
        <v>2010</v>
      </c>
      <c r="F2287" t="str">
        <f>"Hui"</f>
        <v>Hui</v>
      </c>
      <c r="G2287" t="str">
        <f>"safirketab"</f>
        <v>safirketab</v>
      </c>
    </row>
    <row r="2288" spans="1:7" x14ac:dyDescent="0.25">
      <c r="A2288" t="str">
        <f>"HDBK of Meat, Poultry and Seafood Quality"</f>
        <v>HDBK of Meat, Poultry and Seafood Quality</v>
      </c>
      <c r="B2288" t="str">
        <f>"9780813824468"</f>
        <v>9780813824468</v>
      </c>
      <c r="C2288">
        <v>167.99</v>
      </c>
      <c r="D2288" t="str">
        <f t="shared" si="153"/>
        <v>USD</v>
      </c>
      <c r="E2288" t="str">
        <f>"2007"</f>
        <v>2007</v>
      </c>
      <c r="F2288" t="str">
        <f>"Nollet"</f>
        <v>Nollet</v>
      </c>
      <c r="G2288" t="str">
        <f>"safirketab"</f>
        <v>safirketab</v>
      </c>
    </row>
    <row r="2289" spans="1:7" x14ac:dyDescent="0.25">
      <c r="A2289" t="str">
        <f>"HDBK of Poultry Science and Technology,V2, Secondary Processing"</f>
        <v>HDBK of Poultry Science and Technology,V2, Secondary Processing</v>
      </c>
      <c r="B2289" t="str">
        <f>"9780470185537"</f>
        <v>9780470185537</v>
      </c>
      <c r="C2289">
        <v>146.25</v>
      </c>
      <c r="D2289" t="str">
        <f t="shared" si="153"/>
        <v>USD</v>
      </c>
      <c r="E2289" t="str">
        <f>"2010"</f>
        <v>2010</v>
      </c>
      <c r="F2289" t="str">
        <f>"Guerrero-Legarreta"</f>
        <v>Guerrero-Legarreta</v>
      </c>
      <c r="G2289" t="str">
        <f>"safirketab"</f>
        <v>safirketab</v>
      </c>
    </row>
    <row r="2290" spans="1:7" x14ac:dyDescent="0.25">
      <c r="A2290" t="str">
        <f>"HDBK of Vanilla Science and Technology"</f>
        <v>HDBK of Vanilla Science and Technology</v>
      </c>
      <c r="B2290" t="str">
        <f>"9781405193252"</f>
        <v>9781405193252</v>
      </c>
      <c r="C2290">
        <v>151.19999999999999</v>
      </c>
      <c r="D2290" t="str">
        <f t="shared" si="153"/>
        <v>USD</v>
      </c>
      <c r="E2290" t="str">
        <f>"2010"</f>
        <v>2010</v>
      </c>
      <c r="F2290" t="str">
        <f>"Havkin-Frenkel"</f>
        <v>Havkin-Frenkel</v>
      </c>
      <c r="G2290" t="str">
        <f>"safirketab"</f>
        <v>safirketab</v>
      </c>
    </row>
    <row r="2291" spans="1:7" x14ac:dyDescent="0.25">
      <c r="A2291" t="str">
        <f>"HDBK of Vegetables and Vegetable Processing"</f>
        <v>HDBK of Vegetables and Vegetable Processing</v>
      </c>
      <c r="B2291" t="str">
        <f>"9780813815411"</f>
        <v>9780813815411</v>
      </c>
      <c r="C2291">
        <v>263.20999999999998</v>
      </c>
      <c r="D2291" t="str">
        <f t="shared" si="153"/>
        <v>USD</v>
      </c>
      <c r="E2291" t="str">
        <f>"2011"</f>
        <v>2011</v>
      </c>
      <c r="F2291" t="str">
        <f>"Sinha"</f>
        <v>Sinha</v>
      </c>
      <c r="G2291" t="str">
        <f>"safirketab"</f>
        <v>safirketab</v>
      </c>
    </row>
    <row r="2292" spans="1:7" x14ac:dyDescent="0.25">
      <c r="A2292" t="str">
        <f>"HEALTH FOODS : Concept, Technology &amp; Scope, in 2 vols,  HB   "</f>
        <v xml:space="preserve">HEALTH FOODS : Concept, Technology &amp; Scope, in 2 vols,  HB   </v>
      </c>
      <c r="B2292" t="str">
        <f>"9788176222655"</f>
        <v>9788176222655</v>
      </c>
      <c r="C2292">
        <v>69.86</v>
      </c>
      <c r="D2292" t="str">
        <f t="shared" si="153"/>
        <v>USD</v>
      </c>
      <c r="E2292" t="str">
        <f>"2012"</f>
        <v>2012</v>
      </c>
      <c r="F2292" t="str">
        <f>"Gupta"</f>
        <v>Gupta</v>
      </c>
      <c r="G2292" t="str">
        <f>"supply"</f>
        <v>supply</v>
      </c>
    </row>
    <row r="2293" spans="1:7" x14ac:dyDescent="0.25">
      <c r="A2293" t="str">
        <f>"Healthy Ageing: The Role of Nutrition and Lifestyle"</f>
        <v>Healthy Ageing: The Role of Nutrition and Lifestyle</v>
      </c>
      <c r="B2293" t="str">
        <f>"9781405178778"</f>
        <v>9781405178778</v>
      </c>
      <c r="C2293">
        <v>78.739999999999995</v>
      </c>
      <c r="D2293" t="str">
        <f t="shared" si="153"/>
        <v>USD</v>
      </c>
      <c r="E2293" t="str">
        <f>"2009"</f>
        <v>2009</v>
      </c>
      <c r="F2293" t="str">
        <f>"BNF"</f>
        <v>BNF</v>
      </c>
      <c r="G2293" t="str">
        <f>"safirketab"</f>
        <v>safirketab</v>
      </c>
    </row>
    <row r="2294" spans="1:7" x14ac:dyDescent="0.25">
      <c r="A2294" t="str">
        <f>"Hidden Persuaders in Cocoa and Chocolate, A Flavor Lexicon for Cocoa and Chocolate Sensory Professionals"</f>
        <v>Hidden Persuaders in Cocoa and Chocolate, A Flavor Lexicon for Cocoa and Chocolate Sensory Professionals</v>
      </c>
      <c r="B2294" t="str">
        <f>"9780128152836"</f>
        <v>9780128152836</v>
      </c>
      <c r="C2294">
        <v>44.95</v>
      </c>
      <c r="D2294" t="str">
        <f t="shared" si="153"/>
        <v>USD</v>
      </c>
      <c r="E2294" t="str">
        <f>"2018"</f>
        <v>2018</v>
      </c>
      <c r="F2294" t="str">
        <f>"Januszewska"</f>
        <v>Januszewska</v>
      </c>
      <c r="G2294" t="str">
        <f>"dehkadehketab"</f>
        <v>dehkadehketab</v>
      </c>
    </row>
    <row r="2295" spans="1:7" x14ac:dyDescent="0.25">
      <c r="A2295" t="str">
        <f>"High Pressure Processing of Foods"</f>
        <v>High Pressure Processing of Foods</v>
      </c>
      <c r="B2295" t="str">
        <f>"9780813809441"</f>
        <v>9780813809441</v>
      </c>
      <c r="C2295">
        <v>122.99</v>
      </c>
      <c r="D2295" t="str">
        <f t="shared" si="153"/>
        <v>USD</v>
      </c>
      <c r="E2295" t="str">
        <f>"2007"</f>
        <v>2007</v>
      </c>
      <c r="F2295" t="str">
        <f>"Doona"</f>
        <v>Doona</v>
      </c>
      <c r="G2295" t="str">
        <f>"safirketab"</f>
        <v>safirketab</v>
      </c>
    </row>
    <row r="2296" spans="1:7" x14ac:dyDescent="0.25">
      <c r="A2296" t="str">
        <f>"High Temperature Processing of Milk and Milk Products"</f>
        <v>High Temperature Processing of Milk and Milk Products</v>
      </c>
      <c r="B2296" t="str">
        <f>"9781118460504"</f>
        <v>9781118460504</v>
      </c>
      <c r="C2296">
        <v>171</v>
      </c>
      <c r="D2296" t="str">
        <f t="shared" si="153"/>
        <v>USD</v>
      </c>
      <c r="E2296" t="str">
        <f>"2017"</f>
        <v>2017</v>
      </c>
      <c r="F2296" t="str">
        <f>"Deeth"</f>
        <v>Deeth</v>
      </c>
      <c r="G2296" t="str">
        <f>"avanddanesh"</f>
        <v>avanddanesh</v>
      </c>
    </row>
    <row r="2297" spans="1:7" x14ac:dyDescent="0.25">
      <c r="A2297" t="str">
        <f>"HIMALAYAN FERMENTED FOODS"</f>
        <v>HIMALAYAN FERMENTED FOODS</v>
      </c>
      <c r="B2297" t="str">
        <f>"9781420093247"</f>
        <v>9781420093247</v>
      </c>
      <c r="C2297">
        <v>28.5</v>
      </c>
      <c r="D2297" t="str">
        <f>"GBP"</f>
        <v>GBP</v>
      </c>
      <c r="E2297" t="str">
        <f>"2010"</f>
        <v>2010</v>
      </c>
      <c r="F2297" t="str">
        <f>"TAMANG, JYOTI PRAKA"</f>
        <v>TAMANG, JYOTI PRAKA</v>
      </c>
      <c r="G2297" t="str">
        <f>"AsarBartar"</f>
        <v>AsarBartar</v>
      </c>
    </row>
    <row r="2298" spans="1:7" x14ac:dyDescent="0.25">
      <c r="A2298" t="str">
        <f>"Hot and Cheesy"</f>
        <v>Hot and Cheesy</v>
      </c>
      <c r="B2298" t="str">
        <f>"9780470615355"</f>
        <v>9780470615355</v>
      </c>
      <c r="C2298">
        <v>13.8</v>
      </c>
      <c r="D2298" t="str">
        <f>"USD"</f>
        <v>USD</v>
      </c>
      <c r="E2298" t="str">
        <f>"2012"</f>
        <v>2012</v>
      </c>
      <c r="F2298" t="str">
        <f>"Wright"</f>
        <v>Wright</v>
      </c>
      <c r="G2298" t="str">
        <f>"avanddanesh"</f>
        <v>avanddanesh</v>
      </c>
    </row>
    <row r="2299" spans="1:7" x14ac:dyDescent="0.25">
      <c r="A2299" t="str">
        <f>"Human Milk Biochemistry and Infant Formula Manufacturing Technology"</f>
        <v>Human Milk Biochemistry and Infant Formula Manufacturing Technology</v>
      </c>
      <c r="B2299" t="str">
        <f>"9780081013458"</f>
        <v>9780081013458</v>
      </c>
      <c r="C2299">
        <v>207</v>
      </c>
      <c r="D2299" t="str">
        <f>"USD"</f>
        <v>USD</v>
      </c>
      <c r="E2299" t="str">
        <f>"2017"</f>
        <v>2017</v>
      </c>
      <c r="F2299" t="str">
        <f>"Guo"</f>
        <v>Guo</v>
      </c>
      <c r="G2299" t="str">
        <f>"dehkadehketab"</f>
        <v>dehkadehketab</v>
      </c>
    </row>
    <row r="2300" spans="1:7" x14ac:dyDescent="0.25">
      <c r="A2300" t="str">
        <f>"Hygiene in Food Processing, Principles and Practice, 2nd Edition"</f>
        <v>Hygiene in Food Processing, Principles and Practice, 2nd Edition</v>
      </c>
      <c r="B2300" t="str">
        <f>"9780081013212"</f>
        <v>9780081013212</v>
      </c>
      <c r="C2300">
        <v>265.5</v>
      </c>
      <c r="D2300" t="str">
        <f>"USD"</f>
        <v>USD</v>
      </c>
      <c r="E2300" t="str">
        <f>"2017"</f>
        <v>2017</v>
      </c>
      <c r="F2300" t="str">
        <f>"Lelieveld et al"</f>
        <v>Lelieveld et al</v>
      </c>
      <c r="G2300" t="str">
        <f>"dehkadehketab"</f>
        <v>dehkadehketab</v>
      </c>
    </row>
    <row r="2301" spans="1:7" x14ac:dyDescent="0.25">
      <c r="A2301" t="str">
        <f>"Imaging Technologies and Data Processing for Food Engineers"</f>
        <v>Imaging Technologies and Data Processing for Food Engineers</v>
      </c>
      <c r="B2301" t="str">
        <f>"9783319247335"</f>
        <v>9783319247335</v>
      </c>
      <c r="C2301">
        <v>134.99</v>
      </c>
      <c r="D2301" t="str">
        <f>"EUR"</f>
        <v>EUR</v>
      </c>
      <c r="E2301" t="str">
        <f>"2016"</f>
        <v>2016</v>
      </c>
      <c r="F2301" t="str">
        <f>"Sozer"</f>
        <v>Sozer</v>
      </c>
      <c r="G2301" t="str">
        <f>"negarestanabi"</f>
        <v>negarestanabi</v>
      </c>
    </row>
    <row r="2302" spans="1:7" x14ac:dyDescent="0.25">
      <c r="A2302" t="str">
        <f>"Impact of Food Processing on Anthocyanins"</f>
        <v>Impact of Food Processing on Anthocyanins</v>
      </c>
      <c r="B2302" t="str">
        <f>"9789811026119"</f>
        <v>9789811026119</v>
      </c>
      <c r="C2302">
        <v>89.99</v>
      </c>
      <c r="D2302" t="str">
        <f>"EUR"</f>
        <v>EUR</v>
      </c>
      <c r="E2302" t="str">
        <f>"2017"</f>
        <v>2017</v>
      </c>
      <c r="F2302" t="str">
        <f>"Sui"</f>
        <v>Sui</v>
      </c>
      <c r="G2302" t="str">
        <f>"negarestanabi"</f>
        <v>negarestanabi</v>
      </c>
    </row>
    <row r="2303" spans="1:7" x14ac:dyDescent="0.25">
      <c r="A2303" t="str">
        <f>"Impact of Nanoscience in the Food Industry, Volume12"</f>
        <v>Impact of Nanoscience in the Food Industry, Volume12</v>
      </c>
      <c r="B2303" t="str">
        <f>"9780128114407"</f>
        <v>9780128114407</v>
      </c>
      <c r="C2303">
        <v>135</v>
      </c>
      <c r="D2303" t="str">
        <f>"USD"</f>
        <v>USD</v>
      </c>
      <c r="E2303" t="str">
        <f>"2018"</f>
        <v>2018</v>
      </c>
      <c r="F2303" t="str">
        <f>"Grumezescu and Holba"</f>
        <v>Grumezescu and Holba</v>
      </c>
      <c r="G2303" t="str">
        <f>"dehkadehketab"</f>
        <v>dehkadehketab</v>
      </c>
    </row>
    <row r="2304" spans="1:7" x14ac:dyDescent="0.25">
      <c r="A2304" t="str">
        <f>"Improving Diets and Nutrition"</f>
        <v>Improving Diets and Nutrition</v>
      </c>
      <c r="B2304" t="str">
        <f>"9781780642994"</f>
        <v>9781780642994</v>
      </c>
      <c r="C2304">
        <v>111.43</v>
      </c>
      <c r="D2304" t="str">
        <f>"USD"</f>
        <v>USD</v>
      </c>
      <c r="E2304" t="str">
        <f>"2014"</f>
        <v>2014</v>
      </c>
      <c r="F2304" t="str">
        <f>"Brian Thompson"</f>
        <v>Brian Thompson</v>
      </c>
      <c r="G2304" t="str">
        <f>"safirketab"</f>
        <v>safirketab</v>
      </c>
    </row>
    <row r="2305" spans="1:7" x14ac:dyDescent="0.25">
      <c r="A2305" t="str">
        <f>"Improving the Safety and Quality of Eggs and Egg Products, Egg Chemistry, Production and Consumption"</f>
        <v>Improving the Safety and Quality of Eggs and Egg Products, Egg Chemistry, Production and Consumption</v>
      </c>
      <c r="B2305" t="str">
        <f>"9780081016787"</f>
        <v>9780081016787</v>
      </c>
      <c r="C2305">
        <v>261</v>
      </c>
      <c r="D2305" t="str">
        <f>"USD"</f>
        <v>USD</v>
      </c>
      <c r="E2305" t="str">
        <f>"2017"</f>
        <v>2017</v>
      </c>
      <c r="F2305" t="str">
        <f>"Nys et al"</f>
        <v>Nys et al</v>
      </c>
      <c r="G2305" t="str">
        <f>"dehkadehketab"</f>
        <v>dehkadehketab</v>
      </c>
    </row>
    <row r="2306" spans="1:7" x14ac:dyDescent="0.25">
      <c r="A2306" t="str">
        <f>"Improving the Safety and Quality of Milk, Milk Production and Processing"</f>
        <v>Improving the Safety and Quality of Milk, Milk Production and Processing</v>
      </c>
      <c r="B2306" t="str">
        <f>"9780081014318"</f>
        <v>9780081014318</v>
      </c>
      <c r="C2306">
        <v>265.5</v>
      </c>
      <c r="D2306" t="str">
        <f>"USD"</f>
        <v>USD</v>
      </c>
      <c r="E2306" t="str">
        <f>"2017"</f>
        <v>2017</v>
      </c>
      <c r="F2306" t="str">
        <f>"Griffiths"</f>
        <v>Griffiths</v>
      </c>
      <c r="G2306" t="str">
        <f>"dehkadehketab"</f>
        <v>dehkadehketab</v>
      </c>
    </row>
    <row r="2307" spans="1:7" x14ac:dyDescent="0.25">
      <c r="A2307" t="str">
        <f>"Improving the Sensory and Nutritional Quality of Fresh Meat, 2nd Edition"</f>
        <v>Improving the Sensory and Nutritional Quality of Fresh Meat, 2nd Edition</v>
      </c>
      <c r="B2307" t="str">
        <f>"9780081007181"</f>
        <v>9780081007181</v>
      </c>
      <c r="C2307">
        <v>225</v>
      </c>
      <c r="D2307" t="str">
        <f>"USD"</f>
        <v>USD</v>
      </c>
      <c r="E2307" t="str">
        <f>"2017"</f>
        <v>2017</v>
      </c>
      <c r="F2307" t="str">
        <f>"Kerry and Troy"</f>
        <v>Kerry and Troy</v>
      </c>
      <c r="G2307" t="str">
        <f>"dehkadehketab"</f>
        <v>dehkadehketab</v>
      </c>
    </row>
    <row r="2308" spans="1:7" x14ac:dyDescent="0.25">
      <c r="A2308" t="str">
        <f>"In Defense of Processed Food: Itâ€™s Not Nearly as Bad as You Think"</f>
        <v>In Defense of Processed Food: Itâ€™s Not Nearly as Bad as You Think</v>
      </c>
      <c r="B2308" t="str">
        <f>"9783319453927"</f>
        <v>9783319453927</v>
      </c>
      <c r="C2308">
        <v>25.19</v>
      </c>
      <c r="D2308" t="str">
        <f>"EUR"</f>
        <v>EUR</v>
      </c>
      <c r="E2308" t="str">
        <f>"2017"</f>
        <v>2017</v>
      </c>
      <c r="F2308" t="str">
        <f>"Shewfelt"</f>
        <v>Shewfelt</v>
      </c>
      <c r="G2308" t="str">
        <f>"negarestanabi"</f>
        <v>negarestanabi</v>
      </c>
    </row>
    <row r="2309" spans="1:7" x14ac:dyDescent="0.25">
      <c r="A2309" t="str">
        <f>"Individual Differences in Sensory and Consumer Science, Experimentation, Analysis and Interpretation"</f>
        <v>Individual Differences in Sensory and Consumer Science, Experimentation, Analysis and Interpretation</v>
      </c>
      <c r="B2309" t="str">
        <f>"9780081009994"</f>
        <v>9780081009994</v>
      </c>
      <c r="C2309">
        <v>193.5</v>
      </c>
      <c r="D2309" t="str">
        <f>"USD"</f>
        <v>USD</v>
      </c>
      <c r="E2309" t="str">
        <f>"2018"</f>
        <v>2018</v>
      </c>
      <c r="F2309" t="str">
        <f>"Naes et al"</f>
        <v>Naes et al</v>
      </c>
      <c r="G2309" t="str">
        <f>"dehkadehketab"</f>
        <v>dehkadehketab</v>
      </c>
    </row>
    <row r="2310" spans="1:7" x14ac:dyDescent="0.25">
      <c r="A2310" t="str">
        <f>"Industrial Chocolate Manufacture and Use,4e"</f>
        <v>Industrial Chocolate Manufacture and Use,4e</v>
      </c>
      <c r="B2310" t="str">
        <f>"9781405139496"</f>
        <v>9781405139496</v>
      </c>
      <c r="C2310">
        <v>132</v>
      </c>
      <c r="D2310" t="str">
        <f>"USD"</f>
        <v>USD</v>
      </c>
      <c r="E2310" t="str">
        <f>"2008"</f>
        <v>2008</v>
      </c>
      <c r="F2310" t="str">
        <f>"Beckett"</f>
        <v>Beckett</v>
      </c>
      <c r="G2310" t="str">
        <f>"avanddanesh"</f>
        <v>avanddanesh</v>
      </c>
    </row>
    <row r="2311" spans="1:7" x14ac:dyDescent="0.25">
      <c r="A2311" t="str">
        <f>"Infant and Young Child Feeding"</f>
        <v>Infant and Young Child Feeding</v>
      </c>
      <c r="B2311" t="str">
        <f>"9781405187213"</f>
        <v>9781405187213</v>
      </c>
      <c r="C2311">
        <v>54.74</v>
      </c>
      <c r="D2311" t="str">
        <f>"USD"</f>
        <v>USD</v>
      </c>
      <c r="E2311" t="str">
        <f>"2009"</f>
        <v>2009</v>
      </c>
      <c r="F2311" t="str">
        <f>"Dykes"</f>
        <v>Dykes</v>
      </c>
      <c r="G2311" t="str">
        <f>"safirketab"</f>
        <v>safirketab</v>
      </c>
    </row>
    <row r="2312" spans="1:7" x14ac:dyDescent="0.25">
      <c r="A2312" t="str">
        <f>"Innovative Food Science and Emerging Technologies"</f>
        <v>Innovative Food Science and Emerging Technologies</v>
      </c>
      <c r="B2312" t="str">
        <f>"9781771886611"</f>
        <v>9781771886611</v>
      </c>
      <c r="C2312">
        <v>125.1</v>
      </c>
      <c r="D2312" t="str">
        <f>"GBP"</f>
        <v>GBP</v>
      </c>
      <c r="E2312" t="str">
        <f>"2018"</f>
        <v>2018</v>
      </c>
      <c r="F2312" t="str">
        <f>"Thomas"</f>
        <v>Thomas</v>
      </c>
      <c r="G2312" t="str">
        <f>"sal"</f>
        <v>sal</v>
      </c>
    </row>
    <row r="2313" spans="1:7" x14ac:dyDescent="0.25">
      <c r="A2313" t="str">
        <f>"Innovative Processing Technologies for Foods with Bioactive Compounds (Contemporary Food Engineering)"</f>
        <v>Innovative Processing Technologies for Foods with Bioactive Compounds (Contemporary Food Engineering)</v>
      </c>
      <c r="B2313" t="str">
        <f>"9781498714846"</f>
        <v>9781498714846</v>
      </c>
      <c r="C2313">
        <v>129.19999999999999</v>
      </c>
      <c r="D2313" t="str">
        <f>"GBP"</f>
        <v>GBP</v>
      </c>
      <c r="E2313" t="str">
        <f>"2016"</f>
        <v>2016</v>
      </c>
      <c r="F2313" t="str">
        <f>"Jorge J. Moreno(Edi"</f>
        <v>Jorge J. Moreno(Edi</v>
      </c>
      <c r="G2313" t="str">
        <f>"AsarBartar"</f>
        <v>AsarBartar</v>
      </c>
    </row>
    <row r="2314" spans="1:7" x14ac:dyDescent="0.25">
      <c r="A2314" t="str">
        <f>"Innovative Technologies in Beverage Processing"</f>
        <v>Innovative Technologies in Beverage Processing</v>
      </c>
      <c r="B2314" t="str">
        <f>"9781118929377"</f>
        <v>9781118929377</v>
      </c>
      <c r="C2314">
        <v>148.5</v>
      </c>
      <c r="D2314" t="str">
        <f>"USD"</f>
        <v>USD</v>
      </c>
      <c r="E2314" t="str">
        <f>"2017"</f>
        <v>2017</v>
      </c>
      <c r="F2314" t="str">
        <f>"Aguilo-Aguayo"</f>
        <v>Aguilo-Aguayo</v>
      </c>
      <c r="G2314" t="str">
        <f>"avanddanesh"</f>
        <v>avanddanesh</v>
      </c>
    </row>
    <row r="2315" spans="1:7" x14ac:dyDescent="0.25">
      <c r="A2315" t="str">
        <f>"Insects as food and feed: from production to consumption"</f>
        <v>Insects as food and feed: from production to consumption</v>
      </c>
      <c r="B2315" t="str">
        <f>"9789086862962"</f>
        <v>9789086862962</v>
      </c>
      <c r="C2315">
        <v>54</v>
      </c>
      <c r="D2315" t="str">
        <f>"EUR"</f>
        <v>EUR</v>
      </c>
      <c r="E2315" t="str">
        <f>"2017"</f>
        <v>2017</v>
      </c>
      <c r="F2315" t="str">
        <f>"Arnold van Huis, Je"</f>
        <v>Arnold van Huis, Je</v>
      </c>
      <c r="G2315" t="str">
        <f>"AsarBartar"</f>
        <v>AsarBartar</v>
      </c>
    </row>
    <row r="2316" spans="1:7" x14ac:dyDescent="0.25">
      <c r="A2316" t="str">
        <f>"Intelligent Agrifood Chains and Networks"</f>
        <v>Intelligent Agrifood Chains and Networks</v>
      </c>
      <c r="B2316" t="str">
        <f>"9781405182997"</f>
        <v>9781405182997</v>
      </c>
      <c r="C2316">
        <v>76</v>
      </c>
      <c r="D2316" t="str">
        <f>"USD"</f>
        <v>USD</v>
      </c>
      <c r="E2316" t="str">
        <f>"2011"</f>
        <v>2011</v>
      </c>
      <c r="F2316" t="str">
        <f>"Bourlakis"</f>
        <v>Bourlakis</v>
      </c>
      <c r="G2316" t="str">
        <f>"avanddanesh"</f>
        <v>avanddanesh</v>
      </c>
    </row>
    <row r="2317" spans="1:7" x14ac:dyDescent="0.25">
      <c r="A2317" t="str">
        <f>"International Symposium on Olfaction and Taste"</f>
        <v>International Symposium on Olfaction and Taste</v>
      </c>
      <c r="B2317" t="str">
        <f>"9781573317382"</f>
        <v>9781573317382</v>
      </c>
      <c r="C2317">
        <v>28.12</v>
      </c>
      <c r="D2317" t="str">
        <f>"USD"</f>
        <v>USD</v>
      </c>
      <c r="E2317" t="str">
        <f>"2009"</f>
        <v>2009</v>
      </c>
      <c r="F2317" t="str">
        <f>"Finger"</f>
        <v>Finger</v>
      </c>
      <c r="G2317" t="str">
        <f>"safirketab"</f>
        <v>safirketab</v>
      </c>
    </row>
    <row r="2318" spans="1:7" x14ac:dyDescent="0.25">
      <c r="A2318" t="str">
        <f>"Introduction to Human Nutrition 2e"</f>
        <v>Introduction to Human Nutrition 2e</v>
      </c>
      <c r="B2318" t="str">
        <f>"9781405168076"</f>
        <v>9781405168076</v>
      </c>
      <c r="C2318">
        <v>48.75</v>
      </c>
      <c r="D2318" t="str">
        <f>"USD"</f>
        <v>USD</v>
      </c>
      <c r="E2318" t="str">
        <f>"2009"</f>
        <v>2009</v>
      </c>
      <c r="F2318" t="str">
        <f>"Gibney"</f>
        <v>Gibney</v>
      </c>
      <c r="G2318" t="str">
        <f>"safirketab"</f>
        <v>safirketab</v>
      </c>
    </row>
    <row r="2319" spans="1:7" x14ac:dyDescent="0.25">
      <c r="A2319" t="str">
        <f>"It's a jungle out there - the strange animals of economic organization in agri-food value chains"</f>
        <v>It's a jungle out there - the strange animals of economic organization in agri-food value chains</v>
      </c>
      <c r="B2319" t="str">
        <f>"9789086863013"</f>
        <v>9789086863013</v>
      </c>
      <c r="C2319">
        <v>81</v>
      </c>
      <c r="D2319" t="str">
        <f>"EUR"</f>
        <v>EUR</v>
      </c>
      <c r="E2319" t="str">
        <f>"2017"</f>
        <v>2017</v>
      </c>
      <c r="F2319" t="str">
        <f>"Liesbeth K.E. Dries"</f>
        <v>Liesbeth K.E. Dries</v>
      </c>
      <c r="G2319" t="str">
        <f>"AsarBartar"</f>
        <v>AsarBartar</v>
      </c>
    </row>
    <row r="2320" spans="1:7" x14ac:dyDescent="0.25">
      <c r="A2320" t="str">
        <f>"Kentâ€™s Technology of Cereals, An Introduction for Students of Food Science and Agriculture, 5th Edition"</f>
        <v>Kentâ€™s Technology of Cereals, An Introduction for Students of Food Science and Agriculture, 5th Edition</v>
      </c>
      <c r="B2320" t="str">
        <f>"9780081005293"</f>
        <v>9780081005293</v>
      </c>
      <c r="C2320">
        <v>180</v>
      </c>
      <c r="D2320" t="str">
        <f>"USD"</f>
        <v>USD</v>
      </c>
      <c r="E2320" t="str">
        <f>"2017"</f>
        <v>2017</v>
      </c>
      <c r="F2320" t="str">
        <f>"Rosentrater and Ever"</f>
        <v>Rosentrater and Ever</v>
      </c>
      <c r="G2320" t="str">
        <f>"arang"</f>
        <v>arang</v>
      </c>
    </row>
    <row r="2321" spans="1:7" x14ac:dyDescent="0.25">
      <c r="A2321" t="str">
        <f>"Kinetic Analysis of Food Systems"</f>
        <v>Kinetic Analysis of Food Systems</v>
      </c>
      <c r="B2321" t="str">
        <f>"9783319512914"</f>
        <v>9783319512914</v>
      </c>
      <c r="C2321">
        <v>89.99</v>
      </c>
      <c r="D2321" t="str">
        <f>"EUR"</f>
        <v>EUR</v>
      </c>
      <c r="E2321" t="str">
        <f>"2017"</f>
        <v>2017</v>
      </c>
      <c r="F2321" t="str">
        <f>"Marangoni"</f>
        <v>Marangoni</v>
      </c>
      <c r="G2321" t="str">
        <f>"negarestanabi"</f>
        <v>negarestanabi</v>
      </c>
    </row>
    <row r="2322" spans="1:7" x14ac:dyDescent="0.25">
      <c r="A2322" t="str">
        <f>"Kirk-Othmer Food and Feed Technology, 2V Set"</f>
        <v>Kirk-Othmer Food and Feed Technology, 2V Set</v>
      </c>
      <c r="B2322" t="str">
        <f>"9780470174487"</f>
        <v>9780470174487</v>
      </c>
      <c r="C2322">
        <v>254</v>
      </c>
      <c r="D2322" t="str">
        <f t="shared" ref="D2322:D2330" si="154">"USD"</f>
        <v>USD</v>
      </c>
      <c r="E2322" t="str">
        <f>"2008"</f>
        <v>2008</v>
      </c>
      <c r="F2322" t="str">
        <f>"Wiley"</f>
        <v>Wiley</v>
      </c>
      <c r="G2322" t="str">
        <f>"avanddanesh"</f>
        <v>avanddanesh</v>
      </c>
    </row>
    <row r="2323" spans="1:7" x14ac:dyDescent="0.25">
      <c r="A2323" t="str">
        <f>"Kneadlessly Simple: Fabulous, Fuss-Free, No-Knead Breads"</f>
        <v>Kneadlessly Simple: Fabulous, Fuss-Free, No-Knead Breads</v>
      </c>
      <c r="B2323" t="str">
        <f>"9781118169438"</f>
        <v>9781118169438</v>
      </c>
      <c r="C2323">
        <v>8</v>
      </c>
      <c r="D2323" t="str">
        <f t="shared" si="154"/>
        <v>USD</v>
      </c>
      <c r="E2323" t="str">
        <f>"2009"</f>
        <v>2009</v>
      </c>
      <c r="F2323" t="str">
        <f>"Baggett"</f>
        <v>Baggett</v>
      </c>
      <c r="G2323" t="str">
        <f>"avanddanesh"</f>
        <v>avanddanesh</v>
      </c>
    </row>
    <row r="2324" spans="1:7" x14ac:dyDescent="0.25">
      <c r="A2324" t="str">
        <f>"Kosher Food Production,2e"</f>
        <v>Kosher Food Production,2e</v>
      </c>
      <c r="B2324" t="str">
        <f>"9780813820934"</f>
        <v>9780813820934</v>
      </c>
      <c r="C2324">
        <v>98</v>
      </c>
      <c r="D2324" t="str">
        <f t="shared" si="154"/>
        <v>USD</v>
      </c>
      <c r="E2324" t="str">
        <f>"2008"</f>
        <v>2008</v>
      </c>
      <c r="F2324" t="str">
        <f>"Blech"</f>
        <v>Blech</v>
      </c>
      <c r="G2324" t="str">
        <f>"avanddanesh"</f>
        <v>avanddanesh</v>
      </c>
    </row>
    <row r="2325" spans="1:7" x14ac:dyDescent="0.25">
      <c r="A2325" t="str">
        <f>"Krause's Food &amp; the Nutrition Care Process, 14th Edition"</f>
        <v>Krause's Food &amp; the Nutrition Care Process, 14th Edition</v>
      </c>
      <c r="B2325" t="str">
        <f>"9780702073977"</f>
        <v>9780702073977</v>
      </c>
      <c r="C2325">
        <v>58.19</v>
      </c>
      <c r="D2325" t="str">
        <f t="shared" si="154"/>
        <v>USD</v>
      </c>
      <c r="E2325" t="str">
        <f>"2016"</f>
        <v>2016</v>
      </c>
      <c r="F2325" t="str">
        <f>"Mahan &amp; Raymond"</f>
        <v>Mahan &amp; Raymond</v>
      </c>
      <c r="G2325" t="str">
        <f>"safirketab"</f>
        <v>safirketab</v>
      </c>
    </row>
    <row r="2326" spans="1:7" x14ac:dyDescent="0.25">
      <c r="A2326" t="str">
        <f>"Lactic Acid Bacteria: Biodiversity and Taxonomy"</f>
        <v>Lactic Acid Bacteria: Biodiversity and Taxonomy</v>
      </c>
      <c r="B2326" t="str">
        <f>"9781444333831"</f>
        <v>9781444333831</v>
      </c>
      <c r="C2326">
        <v>146.30000000000001</v>
      </c>
      <c r="D2326" t="str">
        <f t="shared" si="154"/>
        <v>USD</v>
      </c>
      <c r="E2326" t="str">
        <f>"2014"</f>
        <v>2014</v>
      </c>
      <c r="F2326" t="str">
        <f>"Holzapfel"</f>
        <v>Holzapfel</v>
      </c>
      <c r="G2326" t="str">
        <f>"avanddanesh"</f>
        <v>avanddanesh</v>
      </c>
    </row>
    <row r="2327" spans="1:7" x14ac:dyDescent="0.25">
      <c r="A2327" t="str">
        <f>"LawrieÂ´s Meat Science, 8th Edition"</f>
        <v>LawrieÂ´s Meat Science, 8th Edition</v>
      </c>
      <c r="B2327" t="str">
        <f>"9780081006931"</f>
        <v>9780081006931</v>
      </c>
      <c r="C2327">
        <v>148.5</v>
      </c>
      <c r="D2327" t="str">
        <f t="shared" si="154"/>
        <v>USD</v>
      </c>
      <c r="E2327" t="str">
        <f>"2017"</f>
        <v>2017</v>
      </c>
      <c r="F2327" t="str">
        <f>"Toldra"</f>
        <v>Toldra</v>
      </c>
      <c r="G2327" t="str">
        <f>"dehkadehketab"</f>
        <v>dehkadehketab</v>
      </c>
    </row>
    <row r="2328" spans="1:7" x14ac:dyDescent="0.25">
      <c r="A2328" t="str">
        <f>"Leafy Greens: An A-to-Z Guide to 30 Types of Greens Plus More Than 120 Delicious Recipes"</f>
        <v>Leafy Greens: An A-to-Z Guide to 30 Types of Greens Plus More Than 120 Delicious Recipes</v>
      </c>
      <c r="B2328" t="str">
        <f>"9781118093870"</f>
        <v>9781118093870</v>
      </c>
      <c r="C2328">
        <v>11.4</v>
      </c>
      <c r="D2328" t="str">
        <f t="shared" si="154"/>
        <v>USD</v>
      </c>
      <c r="E2328" t="str">
        <f>"2012"</f>
        <v>2012</v>
      </c>
      <c r="F2328" t="str">
        <f>"Bittman"</f>
        <v>Bittman</v>
      </c>
      <c r="G2328" t="str">
        <f>"avanddanesh"</f>
        <v>avanddanesh</v>
      </c>
    </row>
    <row r="2329" spans="1:7" x14ac:dyDescent="0.25">
      <c r="A2329" t="str">
        <f>"Lean Manufacturing in the Food Industry"</f>
        <v>Lean Manufacturing in the Food Industry</v>
      </c>
      <c r="B2329" t="str">
        <f>"9781405183673"</f>
        <v>9781405183673</v>
      </c>
      <c r="C2329">
        <v>30</v>
      </c>
      <c r="D2329" t="str">
        <f t="shared" si="154"/>
        <v>USD</v>
      </c>
      <c r="E2329" t="str">
        <f>"2011"</f>
        <v>2011</v>
      </c>
      <c r="F2329" t="str">
        <f>"Dudbridge"</f>
        <v>Dudbridge</v>
      </c>
      <c r="G2329" t="str">
        <f>"avanddanesh"</f>
        <v>avanddanesh</v>
      </c>
    </row>
    <row r="2330" spans="1:7" x14ac:dyDescent="0.25">
      <c r="A2330" t="str">
        <f>"Leung's Encyclopedia of Common Natural Ingredients: Used in Food, Drugs and Cosmetics,3e"</f>
        <v>Leung's Encyclopedia of Common Natural Ingredients: Used in Food, Drugs and Cosmetics,3e</v>
      </c>
      <c r="B2330" t="str">
        <f>"9780471467434"</f>
        <v>9780471467434</v>
      </c>
      <c r="C2330">
        <v>67.599999999999994</v>
      </c>
      <c r="D2330" t="str">
        <f t="shared" si="154"/>
        <v>USD</v>
      </c>
      <c r="E2330" t="str">
        <f>"2009"</f>
        <v>2009</v>
      </c>
      <c r="F2330" t="str">
        <f>"Khan"</f>
        <v>Khan</v>
      </c>
      <c r="G2330" t="str">
        <f>"avanddanesh"</f>
        <v>avanddanesh</v>
      </c>
    </row>
    <row r="2331" spans="1:7" x14ac:dyDescent="0.25">
      <c r="A2331" t="str">
        <f>"Light Scattering Technology for Food Property, Quality and Safety Assessment (Contemporary Food Engineering)"</f>
        <v>Light Scattering Technology for Food Property, Quality and Safety Assessment (Contemporary Food Engineering)</v>
      </c>
      <c r="B2331" t="str">
        <f>"9781482263343"</f>
        <v>9781482263343</v>
      </c>
      <c r="C2331">
        <v>140.25</v>
      </c>
      <c r="D2331" t="str">
        <f>"GBP"</f>
        <v>GBP</v>
      </c>
      <c r="E2331" t="str">
        <f>"2016"</f>
        <v>2016</v>
      </c>
      <c r="F2331" t="str">
        <f>"Renfu Lu(Editor)"</f>
        <v>Renfu Lu(Editor)</v>
      </c>
      <c r="G2331" t="str">
        <f>"AsarBartar"</f>
        <v>AsarBartar</v>
      </c>
    </row>
    <row r="2332" spans="1:7" x14ac:dyDescent="0.25">
      <c r="A2332" t="str">
        <f>"Lucinda's Rustic Italian Kitchen"</f>
        <v>Lucinda's Rustic Italian Kitchen</v>
      </c>
      <c r="B2332" t="str">
        <f>"9780471793816"</f>
        <v>9780471793816</v>
      </c>
      <c r="C2332">
        <v>7.2</v>
      </c>
      <c r="D2332" t="str">
        <f>"USD"</f>
        <v>USD</v>
      </c>
      <c r="E2332" t="str">
        <f>"2007"</f>
        <v>2007</v>
      </c>
      <c r="F2332" t="str">
        <f>"Quinn"</f>
        <v>Quinn</v>
      </c>
      <c r="G2332" t="str">
        <f>"avanddanesh"</f>
        <v>avanddanesh</v>
      </c>
    </row>
    <row r="2333" spans="1:7" x14ac:dyDescent="0.25">
      <c r="A2333" t="str">
        <f>"Magnetic Resonance in Food Science : Defining Food by Magnetic Resonance"</f>
        <v>Magnetic Resonance in Food Science : Defining Food by Magnetic Resonance</v>
      </c>
      <c r="B2333" t="str">
        <f>"9781782620310"</f>
        <v>9781782620310</v>
      </c>
      <c r="C2333">
        <v>66</v>
      </c>
      <c r="D2333" t="str">
        <f>"GBP"</f>
        <v>GBP</v>
      </c>
      <c r="E2333" t="str">
        <f>"2015"</f>
        <v>2015</v>
      </c>
      <c r="F2333" t="str">
        <f>"Capozzi, Laghi, Belt"</f>
        <v>Capozzi, Laghi, Belt</v>
      </c>
      <c r="G2333" t="str">
        <f>"arzinbooks"</f>
        <v>arzinbooks</v>
      </c>
    </row>
    <row r="2334" spans="1:7" x14ac:dyDescent="0.25">
      <c r="A2334" t="str">
        <f>"Magnetic Resonance in Food Science: Food for Thought"</f>
        <v>Magnetic Resonance in Food Science: Food for Thought</v>
      </c>
      <c r="B2334" t="str">
        <f>"9781849736343"</f>
        <v>9781849736343</v>
      </c>
      <c r="C2334">
        <v>46</v>
      </c>
      <c r="D2334" t="str">
        <f>"GBP"</f>
        <v>GBP</v>
      </c>
      <c r="E2334" t="str">
        <f>"2013"</f>
        <v>2013</v>
      </c>
      <c r="F2334" t="str">
        <f>"John van Duynhoven(E"</f>
        <v>John van Duynhoven(E</v>
      </c>
      <c r="G2334" t="str">
        <f>"arzinbooks"</f>
        <v>arzinbooks</v>
      </c>
    </row>
    <row r="2335" spans="1:7" x14ac:dyDescent="0.25">
      <c r="A2335" t="str">
        <f>"Make it Super Simple with G."</f>
        <v>Make it Super Simple with G.</v>
      </c>
      <c r="B2335" t="str">
        <f>"9780696238291"</f>
        <v>9780696238291</v>
      </c>
      <c r="C2335">
        <v>8</v>
      </c>
      <c r="D2335" t="str">
        <f t="shared" ref="D2335:D2341" si="155">"USD"</f>
        <v>USD</v>
      </c>
      <c r="E2335" t="str">
        <f>"2008"</f>
        <v>2008</v>
      </c>
      <c r="F2335" t="str">
        <f>"Garvin"</f>
        <v>Garvin</v>
      </c>
      <c r="G2335" t="str">
        <f>"avanddanesh"</f>
        <v>avanddanesh</v>
      </c>
    </row>
    <row r="2336" spans="1:7" x14ac:dyDescent="0.25">
      <c r="A2336" t="str">
        <f>"Management of Food Allergens"</f>
        <v>Management of Food Allergens</v>
      </c>
      <c r="B2336" t="str">
        <f>"9781405167581"</f>
        <v>9781405167581</v>
      </c>
      <c r="C2336">
        <v>80</v>
      </c>
      <c r="D2336" t="str">
        <f t="shared" si="155"/>
        <v>USD</v>
      </c>
      <c r="E2336" t="str">
        <f>"2009"</f>
        <v>2009</v>
      </c>
      <c r="F2336" t="str">
        <f>"Coutts"</f>
        <v>Coutts</v>
      </c>
      <c r="G2336" t="str">
        <f>"avanddanesh"</f>
        <v>avanddanesh</v>
      </c>
    </row>
    <row r="2337" spans="1:7" x14ac:dyDescent="0.25">
      <c r="A2337" t="str">
        <f>"Management of Food Allergens"</f>
        <v>Management of Food Allergens</v>
      </c>
      <c r="B2337" t="str">
        <f>"9781405167581"</f>
        <v>9781405167581</v>
      </c>
      <c r="C2337">
        <v>80</v>
      </c>
      <c r="D2337" t="str">
        <f t="shared" si="155"/>
        <v>USD</v>
      </c>
      <c r="E2337" t="str">
        <f>"2009"</f>
        <v>2009</v>
      </c>
      <c r="F2337" t="str">
        <f>"Coutts"</f>
        <v>Coutts</v>
      </c>
      <c r="G2337" t="str">
        <f>"safirketab"</f>
        <v>safirketab</v>
      </c>
    </row>
    <row r="2338" spans="1:7" x14ac:dyDescent="0.25">
      <c r="A2338" t="str">
        <f>"Managing and Preventing Obesity, Behavioural Factors and Dietary Interventions"</f>
        <v>Managing and Preventing Obesity, Behavioural Factors and Dietary Interventions</v>
      </c>
      <c r="B2338" t="str">
        <f>"9780081015827"</f>
        <v>9780081015827</v>
      </c>
      <c r="C2338">
        <v>252</v>
      </c>
      <c r="D2338" t="str">
        <f t="shared" si="155"/>
        <v>USD</v>
      </c>
      <c r="E2338" t="str">
        <f>"2017"</f>
        <v>2017</v>
      </c>
      <c r="F2338" t="str">
        <f>"Gill"</f>
        <v>Gill</v>
      </c>
      <c r="G2338" t="str">
        <f>"dehkadehketab"</f>
        <v>dehkadehketab</v>
      </c>
    </row>
    <row r="2339" spans="1:7" x14ac:dyDescent="0.25">
      <c r="A2339" t="str">
        <f>"Managing Packaging Design for Sustainable Development: A Compass for Strategic Directions"</f>
        <v>Managing Packaging Design for Sustainable Development: A Compass for Strategic Directions</v>
      </c>
      <c r="B2339" t="str">
        <f>"9781119150930"</f>
        <v>9781119150930</v>
      </c>
      <c r="C2339">
        <v>67.5</v>
      </c>
      <c r="D2339" t="str">
        <f t="shared" si="155"/>
        <v>USD</v>
      </c>
      <c r="E2339" t="str">
        <f>"2017"</f>
        <v>2017</v>
      </c>
      <c r="F2339" t="str">
        <f>"Hellstr?m"</f>
        <v>Hellstr?m</v>
      </c>
      <c r="G2339" t="str">
        <f>"avanddanesh"</f>
        <v>avanddanesh</v>
      </c>
    </row>
    <row r="2340" spans="1:7" x14ac:dyDescent="0.25">
      <c r="A2340" t="str">
        <f>"Manleyâ€™s Technology of Biscuits, Crackers and Cookies, 4th Edition"</f>
        <v>Manleyâ€™s Technology of Biscuits, Crackers and Cookies, 4th Edition</v>
      </c>
      <c r="B2340" t="str">
        <f>"9780081016305"</f>
        <v>9780081016305</v>
      </c>
      <c r="C2340">
        <v>288</v>
      </c>
      <c r="D2340" t="str">
        <f t="shared" si="155"/>
        <v>USD</v>
      </c>
      <c r="E2340" t="str">
        <f>"2017"</f>
        <v>2017</v>
      </c>
      <c r="F2340" t="str">
        <f>"Manley"</f>
        <v>Manley</v>
      </c>
      <c r="G2340" t="str">
        <f>"dehkadehketab"</f>
        <v>dehkadehketab</v>
      </c>
    </row>
    <row r="2341" spans="1:7" x14ac:dyDescent="0.25">
      <c r="A2341" t="str">
        <f>"Manufacturing Yogurt and Fermented Milks,2e"</f>
        <v>Manufacturing Yogurt and Fermented Milks,2e</v>
      </c>
      <c r="B2341" t="str">
        <f>"9781119967088"</f>
        <v>9781119967088</v>
      </c>
      <c r="C2341">
        <v>143</v>
      </c>
      <c r="D2341" t="str">
        <f t="shared" si="155"/>
        <v>USD</v>
      </c>
      <c r="E2341" t="str">
        <f>"2013"</f>
        <v>2013</v>
      </c>
      <c r="F2341" t="str">
        <f>"Chandan"</f>
        <v>Chandan</v>
      </c>
      <c r="G2341" t="str">
        <f>"avanddanesh"</f>
        <v>avanddanesh</v>
      </c>
    </row>
    <row r="2342" spans="1:7" x14ac:dyDescent="0.25">
      <c r="A2342" t="str">
        <f>"McCance and Widdowson's The Composition of Foods"</f>
        <v>McCance and Widdowson's The Composition of Foods</v>
      </c>
      <c r="B2342" t="str">
        <f>"9781849736367"</f>
        <v>9781849736367</v>
      </c>
      <c r="C2342">
        <v>33</v>
      </c>
      <c r="D2342" t="str">
        <f>"GBP"</f>
        <v>GBP</v>
      </c>
      <c r="E2342" t="str">
        <f>"2014"</f>
        <v>2014</v>
      </c>
      <c r="F2342" t="str">
        <f>"Institute of Food Re"</f>
        <v>Institute of Food Re</v>
      </c>
      <c r="G2342" t="str">
        <f>"arzinbooks"</f>
        <v>arzinbooks</v>
      </c>
    </row>
    <row r="2343" spans="1:7" x14ac:dyDescent="0.25">
      <c r="A2343" t="str">
        <f>"Measurement of Antioxidant Activity and Capacity: Recent Trends and Applications"</f>
        <v>Measurement of Antioxidant Activity and Capacity: Recent Trends and Applications</v>
      </c>
      <c r="B2343" t="str">
        <f>"9781119135357"</f>
        <v>9781119135357</v>
      </c>
      <c r="C2343">
        <v>171</v>
      </c>
      <c r="D2343" t="str">
        <f>"USD"</f>
        <v>USD</v>
      </c>
      <c r="E2343" t="str">
        <f>"2018"</f>
        <v>2018</v>
      </c>
      <c r="F2343" t="str">
        <f>"Apak"</f>
        <v>Apak</v>
      </c>
      <c r="G2343" t="str">
        <f>"avanddanesh"</f>
        <v>avanddanesh</v>
      </c>
    </row>
    <row r="2344" spans="1:7" x14ac:dyDescent="0.25">
      <c r="A2344" t="str">
        <f>"Measurement. Modeling and Automation in Advanced Food Processing"</f>
        <v>Measurement. Modeling and Automation in Advanced Food Processing</v>
      </c>
      <c r="B2344" t="str">
        <f>"9783319601090"</f>
        <v>9783319601090</v>
      </c>
      <c r="C2344">
        <v>197.99</v>
      </c>
      <c r="D2344" t="str">
        <f>"EUR"</f>
        <v>EUR</v>
      </c>
      <c r="E2344" t="str">
        <f>"2017"</f>
        <v>2017</v>
      </c>
      <c r="F2344" t="str">
        <f>"Hitzmann"</f>
        <v>Hitzmann</v>
      </c>
      <c r="G2344" t="str">
        <f>"negarestanabi"</f>
        <v>negarestanabi</v>
      </c>
    </row>
    <row r="2345" spans="1:7" x14ac:dyDescent="0.25">
      <c r="A2345" t="str">
        <f>"Meat Inspection and Control in the Slaughterhouse"</f>
        <v>Meat Inspection and Control in the Slaughterhouse</v>
      </c>
      <c r="B2345" t="str">
        <f>"9781118525869"</f>
        <v>9781118525869</v>
      </c>
      <c r="C2345">
        <v>146.30000000000001</v>
      </c>
      <c r="D2345" t="str">
        <f>"USD"</f>
        <v>USD</v>
      </c>
      <c r="E2345" t="str">
        <f>"2014"</f>
        <v>2014</v>
      </c>
      <c r="F2345" t="str">
        <f>"Ninios"</f>
        <v>Ninios</v>
      </c>
      <c r="G2345" t="str">
        <f>"avanddanesh"</f>
        <v>avanddanesh</v>
      </c>
    </row>
    <row r="2346" spans="1:7" x14ac:dyDescent="0.25">
      <c r="A2346" t="str">
        <f>"Meat Quality: Genetic and Environmental Factors"</f>
        <v>Meat Quality: Genetic and Environmental Factors</v>
      </c>
      <c r="B2346" t="str">
        <f>"9781482220315"</f>
        <v>9781482220315</v>
      </c>
      <c r="C2346">
        <v>109.65</v>
      </c>
      <c r="D2346" t="str">
        <f>"GBP"</f>
        <v>GBP</v>
      </c>
      <c r="E2346" t="str">
        <f>"2016"</f>
        <v>2016</v>
      </c>
      <c r="F2346" t="str">
        <f>"Wieslaw Przybylski"</f>
        <v>Wieslaw Przybylski</v>
      </c>
      <c r="G2346" t="str">
        <f>"AsarBartar"</f>
        <v>AsarBartar</v>
      </c>
    </row>
    <row r="2347" spans="1:7" x14ac:dyDescent="0.25">
      <c r="A2347" t="str">
        <f>"Mechanism and Theory in Food Chemistry. 2/ed"</f>
        <v>Mechanism and Theory in Food Chemistry. 2/ed</v>
      </c>
      <c r="B2347" t="str">
        <f>"9783319507651"</f>
        <v>9783319507651</v>
      </c>
      <c r="C2347">
        <v>67.489999999999995</v>
      </c>
      <c r="D2347" t="str">
        <f>"EUR"</f>
        <v>EUR</v>
      </c>
      <c r="E2347" t="str">
        <f>"2018"</f>
        <v>2018</v>
      </c>
      <c r="F2347" t="str">
        <f>"Wong"</f>
        <v>Wong</v>
      </c>
      <c r="G2347" t="str">
        <f>"negarestanabi"</f>
        <v>negarestanabi</v>
      </c>
    </row>
    <row r="2348" spans="1:7" x14ac:dyDescent="0.25">
      <c r="A2348" t="str">
        <f>"Mediterranean Foods: Composition and Processing"</f>
        <v>Mediterranean Foods: Composition and Processing</v>
      </c>
      <c r="B2348" t="str">
        <f>"9781498740890"</f>
        <v>9781498740890</v>
      </c>
      <c r="C2348">
        <v>107.95</v>
      </c>
      <c r="D2348" t="str">
        <f>"GBP"</f>
        <v>GBP</v>
      </c>
      <c r="E2348" t="str">
        <f>"2016"</f>
        <v>2016</v>
      </c>
      <c r="F2348" t="str">
        <f>"Rui M. S. da Cruz(E"</f>
        <v>Rui M. S. da Cruz(E</v>
      </c>
      <c r="G2348" t="str">
        <f>"AsarBartar"</f>
        <v>AsarBartar</v>
      </c>
    </row>
    <row r="2349" spans="1:7" x14ac:dyDescent="0.25">
      <c r="A2349" t="str">
        <f>"Melissa's Everyday Cooking with Organic Produce: A Guide to Easy-to-Make Dishes with Fresh Organic Fruits and Vegetables"</f>
        <v>Melissa's Everyday Cooking with Organic Produce: A Guide to Easy-to-Make Dishes with Fresh Organic Fruits and Vegetables</v>
      </c>
      <c r="B2349" t="str">
        <f>"9780470371053"</f>
        <v>9780470371053</v>
      </c>
      <c r="C2349">
        <v>12</v>
      </c>
      <c r="D2349" t="str">
        <f t="shared" ref="D2349:D2355" si="156">"USD"</f>
        <v>USD</v>
      </c>
      <c r="E2349" t="str">
        <f>"2010"</f>
        <v>2010</v>
      </c>
      <c r="F2349" t="str">
        <f>"Thomas"</f>
        <v>Thomas</v>
      </c>
      <c r="G2349" t="str">
        <f>"avanddanesh"</f>
        <v>avanddanesh</v>
      </c>
    </row>
    <row r="2350" spans="1:7" x14ac:dyDescent="0.25">
      <c r="A2350" t="str">
        <f>"Membrane Processing for Dairy Ingredient Separation"</f>
        <v>Membrane Processing for Dairy Ingredient Separation</v>
      </c>
      <c r="B2350" t="str">
        <f>"9781118590171"</f>
        <v>9781118590171</v>
      </c>
      <c r="C2350">
        <v>144</v>
      </c>
      <c r="D2350" t="str">
        <f t="shared" si="156"/>
        <v>USD</v>
      </c>
      <c r="E2350" t="str">
        <f>"2015"</f>
        <v>2015</v>
      </c>
      <c r="F2350" t="str">
        <f>"Hu"</f>
        <v>Hu</v>
      </c>
      <c r="G2350" t="str">
        <f>"avanddanesh"</f>
        <v>avanddanesh</v>
      </c>
    </row>
    <row r="2351" spans="1:7" x14ac:dyDescent="0.25">
      <c r="A2351" t="str">
        <f>"Membrane Processing: Dairy and Beverage Applications"</f>
        <v>Membrane Processing: Dairy and Beverage Applications</v>
      </c>
      <c r="B2351" t="str">
        <f>"9781444333374"</f>
        <v>9781444333374</v>
      </c>
      <c r="C2351">
        <v>113.8</v>
      </c>
      <c r="D2351" t="str">
        <f t="shared" si="156"/>
        <v>USD</v>
      </c>
      <c r="E2351" t="str">
        <f>"2013"</f>
        <v>2013</v>
      </c>
      <c r="F2351" t="str">
        <f>"Tamime"</f>
        <v>Tamime</v>
      </c>
      <c r="G2351" t="str">
        <f>"avanddanesh"</f>
        <v>avanddanesh</v>
      </c>
    </row>
    <row r="2352" spans="1:7" x14ac:dyDescent="0.25">
      <c r="A2352" t="str">
        <f>"Metabolic Syndrome Pathophysiology:The Role of Essential Fatty Acids"</f>
        <v>Metabolic Syndrome Pathophysiology:The Role of Essential Fatty Acids</v>
      </c>
      <c r="B2352" t="str">
        <f>"9780813815534"</f>
        <v>9780813815534</v>
      </c>
      <c r="C2352">
        <v>91.6</v>
      </c>
      <c r="D2352" t="str">
        <f t="shared" si="156"/>
        <v>USD</v>
      </c>
      <c r="E2352" t="str">
        <f>"2010"</f>
        <v>2010</v>
      </c>
      <c r="F2352" t="str">
        <f>"Das"</f>
        <v>Das</v>
      </c>
      <c r="G2352" t="str">
        <f>"safirketab"</f>
        <v>safirketab</v>
      </c>
    </row>
    <row r="2353" spans="1:7" x14ac:dyDescent="0.25">
      <c r="A2353" t="str">
        <f>"Metabolomics as a Tool in Nutrition Research"</f>
        <v>Metabolomics as a Tool in Nutrition Research</v>
      </c>
      <c r="B2353" t="str">
        <f>"9780081015612"</f>
        <v>9780081015612</v>
      </c>
      <c r="C2353">
        <v>207</v>
      </c>
      <c r="D2353" t="str">
        <f t="shared" si="156"/>
        <v>USD</v>
      </c>
      <c r="E2353" t="str">
        <f>"2017"</f>
        <v>2017</v>
      </c>
      <c r="F2353" t="str">
        <f>"Sebedio and Brennan"</f>
        <v>Sebedio and Brennan</v>
      </c>
      <c r="G2353" t="str">
        <f>"dehkadehketab"</f>
        <v>dehkadehketab</v>
      </c>
    </row>
    <row r="2354" spans="1:7" x14ac:dyDescent="0.25">
      <c r="A2354" t="str">
        <f>"Methods in Consumer Research, Volume 1, New Approaches to Classic Methods"</f>
        <v>Methods in Consumer Research, Volume 1, New Approaches to Classic Methods</v>
      </c>
      <c r="B2354" t="str">
        <f>"9780081020845"</f>
        <v>9780081020845</v>
      </c>
      <c r="C2354">
        <v>202.5</v>
      </c>
      <c r="D2354" t="str">
        <f t="shared" si="156"/>
        <v>USD</v>
      </c>
      <c r="E2354" t="str">
        <f>"2018"</f>
        <v>2018</v>
      </c>
      <c r="F2354" t="str">
        <f>"Ares and Varela"</f>
        <v>Ares and Varela</v>
      </c>
      <c r="G2354" t="str">
        <f>"dehkadehketab"</f>
        <v>dehkadehketab</v>
      </c>
    </row>
    <row r="2355" spans="1:7" x14ac:dyDescent="0.25">
      <c r="A2355" t="str">
        <f>"Methods in Consumer Research, Volume 2, Alternative Approaches and Special Applications"</f>
        <v>Methods in Consumer Research, Volume 2, Alternative Approaches and Special Applications</v>
      </c>
      <c r="B2355" t="str">
        <f>"9780081017296"</f>
        <v>9780081017296</v>
      </c>
      <c r="C2355">
        <v>202.5</v>
      </c>
      <c r="D2355" t="str">
        <f t="shared" si="156"/>
        <v>USD</v>
      </c>
      <c r="E2355" t="str">
        <f>"2018"</f>
        <v>2018</v>
      </c>
      <c r="F2355" t="str">
        <f>"Ares and Varela"</f>
        <v>Ares and Varela</v>
      </c>
      <c r="G2355" t="str">
        <f>"dehkadehketab"</f>
        <v>dehkadehketab</v>
      </c>
    </row>
    <row r="2356" spans="1:7" x14ac:dyDescent="0.25">
      <c r="A2356" t="str">
        <f>"Microbial Food Safety"</f>
        <v>Microbial Food Safety</v>
      </c>
      <c r="B2356" t="str">
        <f>"9781780644813"</f>
        <v>9781780644813</v>
      </c>
      <c r="C2356">
        <v>29.99</v>
      </c>
      <c r="D2356" t="str">
        <f>"GBP"</f>
        <v>GBP</v>
      </c>
      <c r="E2356" t="str">
        <f>"2017"</f>
        <v>2017</v>
      </c>
      <c r="F2356" t="str">
        <f>"NGANJE"</f>
        <v>NGANJE</v>
      </c>
      <c r="G2356" t="str">
        <f>"jahanadib"</f>
        <v>jahanadib</v>
      </c>
    </row>
    <row r="2357" spans="1:7" x14ac:dyDescent="0.25">
      <c r="A2357" t="str">
        <f>"Microbial Food Safety"</f>
        <v>Microbial Food Safety</v>
      </c>
      <c r="B2357" t="str">
        <f>"9781780644813"</f>
        <v>9781780644813</v>
      </c>
      <c r="C2357">
        <v>36</v>
      </c>
      <c r="D2357" t="str">
        <f>"GBP"</f>
        <v>GBP</v>
      </c>
      <c r="E2357" t="str">
        <f>"2017"</f>
        <v>2017</v>
      </c>
      <c r="F2357" t="str">
        <f>"CHARLENE WOLF-HALL"</f>
        <v>CHARLENE WOLF-HALL</v>
      </c>
      <c r="G2357" t="str">
        <f>"AsarBartar"</f>
        <v>AsarBartar</v>
      </c>
    </row>
    <row r="2358" spans="1:7" x14ac:dyDescent="0.25">
      <c r="A2358" t="str">
        <f>"Microbial Functional Foods and Nutraceuticals"</f>
        <v>Microbial Functional Foods and Nutraceuticals</v>
      </c>
      <c r="B2358" t="str">
        <f>"9781119049012"</f>
        <v>9781119049012</v>
      </c>
      <c r="C2358">
        <v>135</v>
      </c>
      <c r="D2358" t="str">
        <f t="shared" ref="D2358:D2367" si="157">"USD"</f>
        <v>USD</v>
      </c>
      <c r="E2358" t="str">
        <f>"2017"</f>
        <v>2017</v>
      </c>
      <c r="F2358" t="str">
        <f>"Gupta"</f>
        <v>Gupta</v>
      </c>
      <c r="G2358" t="str">
        <f>"avanddanesh"</f>
        <v>avanddanesh</v>
      </c>
    </row>
    <row r="2359" spans="1:7" x14ac:dyDescent="0.25">
      <c r="A2359" t="str">
        <f>"Microbial Hazard Identification in Fresh Fruits and Vegetables"</f>
        <v>Microbial Hazard Identification in Fresh Fruits and Vegetables</v>
      </c>
      <c r="B2359" t="str">
        <f>"9780471670766"</f>
        <v>9780471670766</v>
      </c>
      <c r="C2359">
        <v>62</v>
      </c>
      <c r="D2359" t="str">
        <f t="shared" si="157"/>
        <v>USD</v>
      </c>
      <c r="E2359" t="str">
        <f>"2006"</f>
        <v>2006</v>
      </c>
      <c r="F2359" t="str">
        <f>"James"</f>
        <v>James</v>
      </c>
      <c r="G2359" t="str">
        <f>"avanddanesh"</f>
        <v>avanddanesh</v>
      </c>
    </row>
    <row r="2360" spans="1:7" x14ac:dyDescent="0.25">
      <c r="A2360" t="str">
        <f>"Microbial Production of Food Ingredients, Enzymes and Nutraceuticals"</f>
        <v>Microbial Production of Food Ingredients, Enzymes and Nutraceuticals</v>
      </c>
      <c r="B2360" t="str">
        <f>"9780081015582"</f>
        <v>9780081015582</v>
      </c>
      <c r="C2360">
        <v>283.5</v>
      </c>
      <c r="D2360" t="str">
        <f t="shared" si="157"/>
        <v>USD</v>
      </c>
      <c r="E2360" t="str">
        <f>"2017"</f>
        <v>2017</v>
      </c>
      <c r="F2360" t="str">
        <f>"McNeil et al"</f>
        <v>McNeil et al</v>
      </c>
      <c r="G2360" t="str">
        <f>"dehkadehketab"</f>
        <v>dehkadehketab</v>
      </c>
    </row>
    <row r="2361" spans="1:7" x14ac:dyDescent="0.25">
      <c r="A2361" t="str">
        <f>"Microbial Safety of Fresh Produce"</f>
        <v>Microbial Safety of Fresh Produce</v>
      </c>
      <c r="B2361" t="str">
        <f>"9780813804163"</f>
        <v>9780813804163</v>
      </c>
      <c r="C2361">
        <v>172.49</v>
      </c>
      <c r="D2361" t="str">
        <f t="shared" si="157"/>
        <v>USD</v>
      </c>
      <c r="E2361" t="str">
        <f>"2009"</f>
        <v>2009</v>
      </c>
      <c r="F2361" t="str">
        <f>"Fan"</f>
        <v>Fan</v>
      </c>
      <c r="G2361" t="str">
        <f>"safirketab"</f>
        <v>safirketab</v>
      </c>
    </row>
    <row r="2362" spans="1:7" x14ac:dyDescent="0.25">
      <c r="A2362" t="str">
        <f>"Microbial Toxins in Dairy Products"</f>
        <v>Microbial Toxins in Dairy Products</v>
      </c>
      <c r="B2362" t="str">
        <f>"9781118756430"</f>
        <v>9781118756430</v>
      </c>
      <c r="C2362">
        <v>148.5</v>
      </c>
      <c r="D2362" t="str">
        <f t="shared" si="157"/>
        <v>USD</v>
      </c>
      <c r="E2362" t="str">
        <f>"2017"</f>
        <v>2017</v>
      </c>
      <c r="F2362" t="str">
        <f>"Tamime"</f>
        <v>Tamime</v>
      </c>
      <c r="G2362" t="str">
        <f>"avanddanesh"</f>
        <v>avanddanesh</v>
      </c>
    </row>
    <row r="2363" spans="1:7" x14ac:dyDescent="0.25">
      <c r="A2363" t="str">
        <f>"Microbiological Safety of Food in Healthcare Settings"</f>
        <v>Microbiological Safety of Food in Healthcare Settings</v>
      </c>
      <c r="B2363" t="str">
        <f>"9781405122207"</f>
        <v>9781405122207</v>
      </c>
      <c r="C2363">
        <v>134.99</v>
      </c>
      <c r="D2363" t="str">
        <f t="shared" si="157"/>
        <v>USD</v>
      </c>
      <c r="E2363" t="str">
        <f>"2008"</f>
        <v>2008</v>
      </c>
      <c r="F2363" t="str">
        <f>"Lund"</f>
        <v>Lund</v>
      </c>
      <c r="G2363" t="str">
        <f>"safirketab"</f>
        <v>safirketab</v>
      </c>
    </row>
    <row r="2364" spans="1:7" x14ac:dyDescent="0.25">
      <c r="A2364" t="str">
        <f>"Microbiologically Safe Foods"</f>
        <v>Microbiologically Safe Foods</v>
      </c>
      <c r="B2364" t="str">
        <f>"9780470053331"</f>
        <v>9780470053331</v>
      </c>
      <c r="C2364">
        <v>114.02</v>
      </c>
      <c r="D2364" t="str">
        <f t="shared" si="157"/>
        <v>USD</v>
      </c>
      <c r="E2364" t="str">
        <f>"2009"</f>
        <v>2009</v>
      </c>
      <c r="F2364" t="str">
        <f>"Heredia"</f>
        <v>Heredia</v>
      </c>
      <c r="G2364" t="str">
        <f>"safirketab"</f>
        <v>safirketab</v>
      </c>
    </row>
    <row r="2365" spans="1:7" x14ac:dyDescent="0.25">
      <c r="A2365" t="str">
        <f>"Microbiology in Dairy Processing: Challenges and Opportunities"</f>
        <v>Microbiology in Dairy Processing: Challenges and Opportunities</v>
      </c>
      <c r="B2365" t="str">
        <f>"9781119114802"</f>
        <v>9781119114802</v>
      </c>
      <c r="C2365">
        <v>180</v>
      </c>
      <c r="D2365" t="str">
        <f t="shared" si="157"/>
        <v>USD</v>
      </c>
      <c r="E2365" t="str">
        <f>"2017"</f>
        <v>2017</v>
      </c>
      <c r="F2365" t="str">
        <f>"Poltronieri"</f>
        <v>Poltronieri</v>
      </c>
      <c r="G2365" t="str">
        <f>"avanddanesh"</f>
        <v>avanddanesh</v>
      </c>
    </row>
    <row r="2366" spans="1:7" x14ac:dyDescent="0.25">
      <c r="A2366" t="str">
        <f>"Microencapsulation in the Food Industry, A Practical Implementation Guide"</f>
        <v>Microencapsulation in the Food Industry, A Practical Implementation Guide</v>
      </c>
      <c r="B2366" t="str">
        <f>"9780128100776"</f>
        <v>9780128100776</v>
      </c>
      <c r="C2366">
        <v>225</v>
      </c>
      <c r="D2366" t="str">
        <f t="shared" si="157"/>
        <v>USD</v>
      </c>
      <c r="E2366" t="str">
        <f>"2017"</f>
        <v>2017</v>
      </c>
      <c r="F2366" t="str">
        <f>"Gaonkar et al"</f>
        <v>Gaonkar et al</v>
      </c>
      <c r="G2366" t="str">
        <f>"dehkadehketab"</f>
        <v>dehkadehketab</v>
      </c>
    </row>
    <row r="2367" spans="1:7" x14ac:dyDescent="0.25">
      <c r="A2367" t="str">
        <f>"Milk and Dairy Products as Functional Foods"</f>
        <v>Milk and Dairy Products as Functional Foods</v>
      </c>
      <c r="B2367" t="str">
        <f>"9781444336832"</f>
        <v>9781444336832</v>
      </c>
      <c r="C2367">
        <v>123.8</v>
      </c>
      <c r="D2367" t="str">
        <f t="shared" si="157"/>
        <v>USD</v>
      </c>
      <c r="E2367" t="str">
        <f>"2014"</f>
        <v>2014</v>
      </c>
      <c r="F2367" t="str">
        <f>"Kanekanian"</f>
        <v>Kanekanian</v>
      </c>
      <c r="G2367" t="str">
        <f>"avanddanesh"</f>
        <v>avanddanesh</v>
      </c>
    </row>
    <row r="2368" spans="1:7" x14ac:dyDescent="0.25">
      <c r="A2368" t="str">
        <f>"Mineral Containing Proteins : Roles in Nutrition"</f>
        <v>Mineral Containing Proteins : Roles in Nutrition</v>
      </c>
      <c r="B2368" t="str">
        <f>"9789811035951"</f>
        <v>9789811035951</v>
      </c>
      <c r="C2368">
        <v>107.99</v>
      </c>
      <c r="D2368" t="str">
        <f>"EUR"</f>
        <v>EUR</v>
      </c>
      <c r="E2368" t="str">
        <f>"2017"</f>
        <v>2017</v>
      </c>
      <c r="F2368" t="str">
        <f>"Zhao"</f>
        <v>Zhao</v>
      </c>
      <c r="G2368" t="str">
        <f>"negarestanabi"</f>
        <v>negarestanabi</v>
      </c>
    </row>
    <row r="2369" spans="1:7" x14ac:dyDescent="0.25">
      <c r="A2369" t="str">
        <f>"Minerals in Foods: Bioactivity, Metabolism, Nutrition"</f>
        <v>Minerals in Foods: Bioactivity, Metabolism, Nutrition</v>
      </c>
      <c r="B2369" t="str">
        <f>"9781932078978"</f>
        <v>9781932078978</v>
      </c>
      <c r="C2369">
        <v>107.8</v>
      </c>
      <c r="D2369" t="str">
        <f>"GBP"</f>
        <v>GBP</v>
      </c>
      <c r="E2369" t="str">
        <f>"2014"</f>
        <v>2014</v>
      </c>
      <c r="F2369" t="str">
        <f>"Harris"</f>
        <v>Harris</v>
      </c>
      <c r="G2369" t="str">
        <f>"jahanadib"</f>
        <v>jahanadib</v>
      </c>
    </row>
    <row r="2370" spans="1:7" x14ac:dyDescent="0.25">
      <c r="A2370" t="str">
        <f>"Minimally Processed Refrigerated Fruits and Vegetables. 2/ed"</f>
        <v>Minimally Processed Refrigerated Fruits and Vegetables. 2/ed</v>
      </c>
      <c r="B2370" t="str">
        <f>"9781493970162"</f>
        <v>9781493970162</v>
      </c>
      <c r="C2370">
        <v>197.99</v>
      </c>
      <c r="D2370" t="str">
        <f>"EUR"</f>
        <v>EUR</v>
      </c>
      <c r="E2370" t="str">
        <f>"2017"</f>
        <v>2017</v>
      </c>
      <c r="F2370" t="str">
        <f>"Yildiz"</f>
        <v>Yildiz</v>
      </c>
      <c r="G2370" t="str">
        <f>"negarestanabi"</f>
        <v>negarestanabi</v>
      </c>
    </row>
    <row r="2371" spans="1:7" x14ac:dyDescent="0.25">
      <c r="A2371" t="str">
        <f>"Modern Buffets: Blueprint for Success"</f>
        <v>Modern Buffets: Blueprint for Success</v>
      </c>
      <c r="B2371" t="str">
        <f>"9780470484661"</f>
        <v>9780470484661</v>
      </c>
      <c r="C2371">
        <v>121.6</v>
      </c>
      <c r="D2371" t="str">
        <f t="shared" ref="D2371:D2381" si="158">"USD"</f>
        <v>USD</v>
      </c>
      <c r="E2371" t="str">
        <f>"2011"</f>
        <v>2011</v>
      </c>
      <c r="F2371" t="str">
        <f>"Leonard"</f>
        <v>Leonard</v>
      </c>
      <c r="G2371" t="str">
        <f>"avanddanesh"</f>
        <v>avanddanesh</v>
      </c>
    </row>
    <row r="2372" spans="1:7" x14ac:dyDescent="0.25">
      <c r="A2372" t="str">
        <f>"Modified Atmosphere Packaging for Fresh-Cut Fruits and Vegetables"</f>
        <v>Modified Atmosphere Packaging for Fresh-Cut Fruits and Vegetables</v>
      </c>
      <c r="B2372" t="str">
        <f>"9780813812748"</f>
        <v>9780813812748</v>
      </c>
      <c r="C2372">
        <v>96.4</v>
      </c>
      <c r="D2372" t="str">
        <f t="shared" si="158"/>
        <v>USD</v>
      </c>
      <c r="E2372" t="str">
        <f>"2011"</f>
        <v>2011</v>
      </c>
      <c r="F2372" t="str">
        <f>"Brody"</f>
        <v>Brody</v>
      </c>
      <c r="G2372" t="str">
        <f>"avanddanesh"</f>
        <v>avanddanesh</v>
      </c>
    </row>
    <row r="2373" spans="1:7" x14ac:dyDescent="0.25">
      <c r="A2373" t="str">
        <f>"Modified Atmosphere Packaging for Fresh-Cut Fruits and Vegetables"</f>
        <v>Modified Atmosphere Packaging for Fresh-Cut Fruits and Vegetables</v>
      </c>
      <c r="B2373" t="str">
        <f>"9780813812748"</f>
        <v>9780813812748</v>
      </c>
      <c r="C2373">
        <v>96.4</v>
      </c>
      <c r="D2373" t="str">
        <f t="shared" si="158"/>
        <v>USD</v>
      </c>
      <c r="E2373" t="str">
        <f>"2011"</f>
        <v>2011</v>
      </c>
      <c r="F2373" t="str">
        <f>"Brody"</f>
        <v>Brody</v>
      </c>
      <c r="G2373" t="str">
        <f>"safirketab"</f>
        <v>safirketab</v>
      </c>
    </row>
    <row r="2374" spans="1:7" x14ac:dyDescent="0.25">
      <c r="A2374" t="str">
        <f>"Molecular Biological and Immunological Techniques and Applications for Food Chemists"</f>
        <v>Molecular Biological and Immunological Techniques and Applications for Food Chemists</v>
      </c>
      <c r="B2374" t="str">
        <f>"9780470068090"</f>
        <v>9780470068090</v>
      </c>
      <c r="C2374">
        <v>64</v>
      </c>
      <c r="D2374" t="str">
        <f t="shared" si="158"/>
        <v>USD</v>
      </c>
      <c r="E2374" t="str">
        <f>"2010"</f>
        <v>2010</v>
      </c>
      <c r="F2374" t="str">
        <f>"Popping"</f>
        <v>Popping</v>
      </c>
      <c r="G2374" t="str">
        <f>"safirketab"</f>
        <v>safirketab</v>
      </c>
    </row>
    <row r="2375" spans="1:7" x14ac:dyDescent="0.25">
      <c r="A2375" t="str">
        <f>"Molecular Biological and Immunological Techniques and Applications for Food Chemists"</f>
        <v>Molecular Biological and Immunological Techniques and Applications for Food Chemists</v>
      </c>
      <c r="B2375" t="str">
        <f>"9780470068090"</f>
        <v>9780470068090</v>
      </c>
      <c r="C2375">
        <v>64</v>
      </c>
      <c r="D2375" t="str">
        <f t="shared" si="158"/>
        <v>USD</v>
      </c>
      <c r="E2375" t="str">
        <f>"2010"</f>
        <v>2010</v>
      </c>
      <c r="F2375" t="str">
        <f>"Popping"</f>
        <v>Popping</v>
      </c>
      <c r="G2375" t="str">
        <f>"avanddanesh"</f>
        <v>avanddanesh</v>
      </c>
    </row>
    <row r="2376" spans="1:7" x14ac:dyDescent="0.25">
      <c r="A2376" t="str">
        <f>"Molecular Tools for the Detection and Quantification of Toxigenic Cyanobacteria"</f>
        <v>Molecular Tools for the Detection and Quantification of Toxigenic Cyanobacteria</v>
      </c>
      <c r="B2376" t="str">
        <f>"9781119332107"</f>
        <v>9781119332107</v>
      </c>
      <c r="C2376">
        <v>130.5</v>
      </c>
      <c r="D2376" t="str">
        <f t="shared" si="158"/>
        <v>USD</v>
      </c>
      <c r="E2376" t="str">
        <f>"2017"</f>
        <v>2017</v>
      </c>
      <c r="F2376" t="str">
        <f>"Kurmayer"</f>
        <v>Kurmayer</v>
      </c>
      <c r="G2376" t="str">
        <f>"avanddanesh"</f>
        <v>avanddanesh</v>
      </c>
    </row>
    <row r="2377" spans="1:7" x14ac:dyDescent="0.25">
      <c r="A2377" t="str">
        <f>"Mr. Sunday's Soups"</f>
        <v>Mr. Sunday's Soups</v>
      </c>
      <c r="B2377" t="str">
        <f>"9780470640227"</f>
        <v>9780470640227</v>
      </c>
      <c r="C2377">
        <v>8</v>
      </c>
      <c r="D2377" t="str">
        <f t="shared" si="158"/>
        <v>USD</v>
      </c>
      <c r="E2377" t="str">
        <f>"2011"</f>
        <v>2011</v>
      </c>
      <c r="F2377" t="str">
        <f>"Wallace"</f>
        <v>Wallace</v>
      </c>
      <c r="G2377" t="str">
        <f>"avanddanesh"</f>
        <v>avanddanesh</v>
      </c>
    </row>
    <row r="2378" spans="1:7" x14ac:dyDescent="0.25">
      <c r="A2378" t="str">
        <f>"Multiphysics Simulation of Emerging Food Processing Technologies"</f>
        <v>Multiphysics Simulation of Emerging Food Processing Technologies</v>
      </c>
      <c r="B2378" t="str">
        <f>"9780813817545"</f>
        <v>9780813817545</v>
      </c>
      <c r="C2378">
        <v>109.6</v>
      </c>
      <c r="D2378" t="str">
        <f t="shared" si="158"/>
        <v>USD</v>
      </c>
      <c r="E2378" t="str">
        <f>"2011"</f>
        <v>2011</v>
      </c>
      <c r="F2378" t="str">
        <f>"Knoerzer"</f>
        <v>Knoerzer</v>
      </c>
      <c r="G2378" t="str">
        <f>"avanddanesh"</f>
        <v>avanddanesh</v>
      </c>
    </row>
    <row r="2379" spans="1:7" x14ac:dyDescent="0.25">
      <c r="A2379" t="str">
        <f>"Multivariate Data Analysis in Sensory and Consumer Science"</f>
        <v>Multivariate Data Analysis in Sensory and Consumer Science</v>
      </c>
      <c r="B2379" t="str">
        <f>"9780917678417"</f>
        <v>9780917678417</v>
      </c>
      <c r="C2379">
        <v>60.4</v>
      </c>
      <c r="D2379" t="str">
        <f t="shared" si="158"/>
        <v>USD</v>
      </c>
      <c r="E2379" t="str">
        <f>"2008"</f>
        <v>2008</v>
      </c>
      <c r="F2379" t="str">
        <f>"Dijksterhuis"</f>
        <v>Dijksterhuis</v>
      </c>
      <c r="G2379" t="str">
        <f>"avanddanesh"</f>
        <v>avanddanesh</v>
      </c>
    </row>
    <row r="2380" spans="1:7" x14ac:dyDescent="0.25">
      <c r="A2380" t="str">
        <f>"Multivariate Data Analysis in Sensory and Consumer Science"</f>
        <v>Multivariate Data Analysis in Sensory and Consumer Science</v>
      </c>
      <c r="B2380" t="str">
        <f>"9780917678417"</f>
        <v>9780917678417</v>
      </c>
      <c r="C2380">
        <v>60.4</v>
      </c>
      <c r="D2380" t="str">
        <f t="shared" si="158"/>
        <v>USD</v>
      </c>
      <c r="E2380" t="str">
        <f>"2008"</f>
        <v>2008</v>
      </c>
      <c r="F2380" t="str">
        <f>"Dijksterhuis"</f>
        <v>Dijksterhuis</v>
      </c>
      <c r="G2380" t="str">
        <f>"safirketab"</f>
        <v>safirketab</v>
      </c>
    </row>
    <row r="2381" spans="1:7" x14ac:dyDescent="0.25">
      <c r="A2381" t="str">
        <f>"Mushroom Biotechnology, Developments And Applicati"</f>
        <v>Mushroom Biotechnology, Developments And Applicati</v>
      </c>
      <c r="B2381" t="str">
        <f>"9780128027943"</f>
        <v>9780128027943</v>
      </c>
      <c r="C2381">
        <v>90</v>
      </c>
      <c r="D2381" t="str">
        <f t="shared" si="158"/>
        <v>USD</v>
      </c>
      <c r="E2381" t="str">
        <f>"2015"</f>
        <v>2015</v>
      </c>
      <c r="F2381" t="str">
        <f>"N/A*"</f>
        <v>N/A*</v>
      </c>
      <c r="G2381" t="str">
        <f>"dehkadehketab"</f>
        <v>dehkadehketab</v>
      </c>
    </row>
    <row r="2382" spans="1:7" x14ac:dyDescent="0.25">
      <c r="A2382" t="str">
        <f>"Mycotoxins in Plants and Plant Products: Cereals and Cereal Products"</f>
        <v>Mycotoxins in Plants and Plant Products: Cereals and Cereal Products</v>
      </c>
      <c r="B2382" t="str">
        <f>"9783319467139"</f>
        <v>9783319467139</v>
      </c>
      <c r="C2382">
        <v>251.99</v>
      </c>
      <c r="D2382" t="str">
        <f>"EUR"</f>
        <v>EUR</v>
      </c>
      <c r="E2382" t="str">
        <f>"2017"</f>
        <v>2017</v>
      </c>
      <c r="F2382" t="str">
        <f>"WeidenbÃ¶rner"</f>
        <v>WeidenbÃ¶rner</v>
      </c>
      <c r="G2382" t="str">
        <f>"negarestanabi"</f>
        <v>negarestanabi</v>
      </c>
    </row>
    <row r="2383" spans="1:7" x14ac:dyDescent="0.25">
      <c r="A2383" t="str">
        <f>"Nano- and Microencapsulation for Foods"</f>
        <v>Nano- and Microencapsulation for Foods</v>
      </c>
      <c r="B2383" t="str">
        <f>"9781118292334"</f>
        <v>9781118292334</v>
      </c>
      <c r="C2383">
        <v>123.8</v>
      </c>
      <c r="D2383" t="str">
        <f>"USD"</f>
        <v>USD</v>
      </c>
      <c r="E2383" t="str">
        <f>"2014"</f>
        <v>2014</v>
      </c>
      <c r="F2383" t="str">
        <f>"Kwak"</f>
        <v>Kwak</v>
      </c>
      <c r="G2383" t="str">
        <f>"avanddanesh"</f>
        <v>avanddanesh</v>
      </c>
    </row>
    <row r="2384" spans="1:7" x14ac:dyDescent="0.25">
      <c r="A2384" t="str">
        <f>"Nanoemulsions, Formulation, Applications, and Characterization"</f>
        <v>Nanoemulsions, Formulation, Applications, and Characterization</v>
      </c>
      <c r="B2384" t="str">
        <f>"9780128118368"</f>
        <v>9780128118368</v>
      </c>
      <c r="C2384">
        <v>180</v>
      </c>
      <c r="D2384" t="str">
        <f>"USD"</f>
        <v>USD</v>
      </c>
      <c r="E2384" t="str">
        <f>"2018"</f>
        <v>2018</v>
      </c>
      <c r="F2384" t="str">
        <f>"Jafari and McClement"</f>
        <v>Jafari and McClement</v>
      </c>
      <c r="G2384" t="str">
        <f>"dehkadehketab"</f>
        <v>dehkadehketab</v>
      </c>
    </row>
    <row r="2385" spans="1:7" x14ac:dyDescent="0.25">
      <c r="A2385" t="str">
        <f>"Nanoencapsulation Technologies for the Food and Nutraceutical Industries"</f>
        <v>Nanoencapsulation Technologies for the Food and Nutraceutical Industries</v>
      </c>
      <c r="B2385" t="str">
        <f>"9780128094358"</f>
        <v>9780128094358</v>
      </c>
      <c r="C2385">
        <v>180</v>
      </c>
      <c r="D2385" t="str">
        <f>"USD"</f>
        <v>USD</v>
      </c>
      <c r="E2385" t="str">
        <f>"2017"</f>
        <v>2017</v>
      </c>
      <c r="F2385" t="str">
        <f>"Jafari"</f>
        <v>Jafari</v>
      </c>
      <c r="G2385" t="str">
        <f>"dehkadehketab"</f>
        <v>dehkadehketab</v>
      </c>
    </row>
    <row r="2386" spans="1:7" x14ac:dyDescent="0.25">
      <c r="A2386" t="str">
        <f>"Nanotechnologies in Food"</f>
        <v>Nanotechnologies in Food</v>
      </c>
      <c r="B2386" t="str">
        <f>"9781782621713"</f>
        <v>9781782621713</v>
      </c>
      <c r="C2386">
        <v>143.69999999999999</v>
      </c>
      <c r="D2386" t="str">
        <f>"GBP"</f>
        <v>GBP</v>
      </c>
      <c r="E2386" t="str">
        <f>"2017"</f>
        <v>2017</v>
      </c>
      <c r="F2386" t="str">
        <f>"Qasim Chaudhry,Laure"</f>
        <v>Qasim Chaudhry,Laure</v>
      </c>
      <c r="G2386" t="str">
        <f>"arzinbooks"</f>
        <v>arzinbooks</v>
      </c>
    </row>
    <row r="2387" spans="1:7" x14ac:dyDescent="0.25">
      <c r="A2387" t="str">
        <f>"Nanotechnology and Functional Foods: Effective Delivery of Bioactive Ingredients"</f>
        <v>Nanotechnology and Functional Foods: Effective Delivery of Bioactive Ingredients</v>
      </c>
      <c r="B2387" t="str">
        <f>"9781118462201"</f>
        <v>9781118462201</v>
      </c>
      <c r="C2387">
        <v>160</v>
      </c>
      <c r="D2387" t="str">
        <f>"USD"</f>
        <v>USD</v>
      </c>
      <c r="E2387" t="str">
        <f>"2015"</f>
        <v>2015</v>
      </c>
      <c r="F2387" t="str">
        <f>"Sabliov"</f>
        <v>Sabliov</v>
      </c>
      <c r="G2387" t="str">
        <f>"avanddanesh"</f>
        <v>avanddanesh</v>
      </c>
    </row>
    <row r="2388" spans="1:7" x14ac:dyDescent="0.25">
      <c r="A2388" t="str">
        <f>"Nanotechnology Applications in Food, Flavor, Stability, Nutrition and Safety"</f>
        <v>Nanotechnology Applications in Food, Flavor, Stability, Nutrition and Safety</v>
      </c>
      <c r="B2388" t="str">
        <f>"9780128119396"</f>
        <v>9780128119396</v>
      </c>
      <c r="C2388">
        <v>157.5</v>
      </c>
      <c r="D2388" t="str">
        <f>"USD"</f>
        <v>USD</v>
      </c>
      <c r="E2388" t="str">
        <f>"2017"</f>
        <v>2017</v>
      </c>
      <c r="F2388" t="str">
        <f>"Grumezescu and Oprea"</f>
        <v>Grumezescu and Oprea</v>
      </c>
      <c r="G2388" t="str">
        <f>"dehkadehketab"</f>
        <v>dehkadehketab</v>
      </c>
    </row>
    <row r="2389" spans="1:7" x14ac:dyDescent="0.25">
      <c r="A2389" t="str">
        <f>"Nanotechnology Applications in the Food Industry"</f>
        <v>Nanotechnology Applications in the Food Industry</v>
      </c>
      <c r="B2389" t="str">
        <f>"9781498784832"</f>
        <v>9781498784832</v>
      </c>
      <c r="C2389">
        <v>171</v>
      </c>
      <c r="D2389" t="str">
        <f>"GBP"</f>
        <v>GBP</v>
      </c>
      <c r="E2389" t="str">
        <f>"2018"</f>
        <v>2018</v>
      </c>
      <c r="F2389" t="str">
        <f>"Rai"</f>
        <v>Rai</v>
      </c>
      <c r="G2389" t="str">
        <f>"sal"</f>
        <v>sal</v>
      </c>
    </row>
    <row r="2390" spans="1:7" x14ac:dyDescent="0.25">
      <c r="A2390" t="str">
        <f>"Nanotechnology in Agriculture and Food Science"</f>
        <v>Nanotechnology in Agriculture and Food Science</v>
      </c>
      <c r="B2390" t="str">
        <f>"9783527339891"</f>
        <v>9783527339891</v>
      </c>
      <c r="C2390">
        <v>193.5</v>
      </c>
      <c r="D2390" t="str">
        <f>"USD"</f>
        <v>USD</v>
      </c>
      <c r="E2390" t="str">
        <f>"2017"</f>
        <v>2017</v>
      </c>
      <c r="F2390" t="str">
        <f>"Axelos"</f>
        <v>Axelos</v>
      </c>
      <c r="G2390" t="str">
        <f>"avanddanesh"</f>
        <v>avanddanesh</v>
      </c>
    </row>
    <row r="2391" spans="1:7" x14ac:dyDescent="0.25">
      <c r="A2391" t="str">
        <f>"Nanotechnology in Nutraceuticals: Production to Consumption"</f>
        <v>Nanotechnology in Nutraceuticals: Production to Consumption</v>
      </c>
      <c r="B2391" t="str">
        <f>"9781498721882"</f>
        <v>9781498721882</v>
      </c>
      <c r="C2391">
        <v>135.15</v>
      </c>
      <c r="D2391" t="str">
        <f>"GBP"</f>
        <v>GBP</v>
      </c>
      <c r="E2391" t="str">
        <f>"2016"</f>
        <v>2016</v>
      </c>
      <c r="F2391" t="str">
        <f>"Shampa Sen(Editor)"</f>
        <v>Shampa Sen(Editor)</v>
      </c>
      <c r="G2391" t="str">
        <f>"AsarBartar"</f>
        <v>AsarBartar</v>
      </c>
    </row>
    <row r="2392" spans="1:7" x14ac:dyDescent="0.25">
      <c r="A2392" t="str">
        <f>"Nanotechnology in the Agri-Food Sector: Implications for the Future"</f>
        <v>Nanotechnology in the Agri-Food Sector: Implications for the Future</v>
      </c>
      <c r="B2392" t="str">
        <f>"9783527330607"</f>
        <v>9783527330607</v>
      </c>
      <c r="C2392">
        <v>60</v>
      </c>
      <c r="D2392" t="str">
        <f>"USD"</f>
        <v>USD</v>
      </c>
      <c r="E2392" t="str">
        <f>"2011"</f>
        <v>2011</v>
      </c>
      <c r="F2392" t="str">
        <f>"Frewer"</f>
        <v>Frewer</v>
      </c>
      <c r="G2392" t="str">
        <f>"avanddanesh"</f>
        <v>avanddanesh</v>
      </c>
    </row>
    <row r="2393" spans="1:7" x14ac:dyDescent="0.25">
      <c r="A2393" t="str">
        <f>"Nanotechnology Research Methods for Food and Bioproducts"</f>
        <v>Nanotechnology Research Methods for Food and Bioproducts</v>
      </c>
      <c r="B2393" t="str">
        <f>"9780813817316"</f>
        <v>9780813817316</v>
      </c>
      <c r="C2393">
        <v>132</v>
      </c>
      <c r="D2393" t="str">
        <f>"USD"</f>
        <v>USD</v>
      </c>
      <c r="E2393" t="str">
        <f>"2012"</f>
        <v>2012</v>
      </c>
      <c r="F2393" t="str">
        <f>"Padua"</f>
        <v>Padua</v>
      </c>
      <c r="G2393" t="str">
        <f>"avanddanesh"</f>
        <v>avanddanesh</v>
      </c>
    </row>
    <row r="2394" spans="1:7" x14ac:dyDescent="0.25">
      <c r="A2394" t="str">
        <f>"Natural Food Additives, Ingredients and Flavourings"</f>
        <v>Natural Food Additives, Ingredients and Flavourings</v>
      </c>
      <c r="B2394" t="str">
        <f>"9780081016282"</f>
        <v>9780081016282</v>
      </c>
      <c r="C2394">
        <v>252</v>
      </c>
      <c r="D2394" t="str">
        <f>"USD"</f>
        <v>USD</v>
      </c>
      <c r="E2394" t="str">
        <f t="shared" ref="E2394:E2399" si="159">"2017"</f>
        <v>2017</v>
      </c>
      <c r="F2394" t="str">
        <f>"Baines and Seal"</f>
        <v>Baines and Seal</v>
      </c>
      <c r="G2394" t="str">
        <f>"dehkadehketab"</f>
        <v>dehkadehketab</v>
      </c>
    </row>
    <row r="2395" spans="1:7" x14ac:dyDescent="0.25">
      <c r="A2395" t="str">
        <f>"Natural Food Flavors and Colorants,2e"</f>
        <v>Natural Food Flavors and Colorants,2e</v>
      </c>
      <c r="B2395" t="str">
        <f>"9781119114765"</f>
        <v>9781119114765</v>
      </c>
      <c r="C2395">
        <v>171</v>
      </c>
      <c r="D2395" t="str">
        <f>"USD"</f>
        <v>USD</v>
      </c>
      <c r="E2395" t="str">
        <f t="shared" si="159"/>
        <v>2017</v>
      </c>
      <c r="F2395" t="str">
        <f>"Attokaran"</f>
        <v>Attokaran</v>
      </c>
      <c r="G2395" t="str">
        <f>"avanddanesh"</f>
        <v>avanddanesh</v>
      </c>
    </row>
    <row r="2396" spans="1:7" x14ac:dyDescent="0.25">
      <c r="A2396" t="str">
        <f>"Neuromarketing in food retailing"</f>
        <v>Neuromarketing in food retailing</v>
      </c>
      <c r="B2396" t="str">
        <f>"9789086863006"</f>
        <v>9789086863006</v>
      </c>
      <c r="C2396">
        <v>44.1</v>
      </c>
      <c r="D2396" t="str">
        <f>"EUR"</f>
        <v>EUR</v>
      </c>
      <c r="E2396" t="str">
        <f t="shared" si="159"/>
        <v>2017</v>
      </c>
      <c r="F2396" t="str">
        <f>"Elena Horsk?, Jakub"</f>
        <v>Elena Horsk?, Jakub</v>
      </c>
      <c r="G2396" t="str">
        <f>"AsarBartar"</f>
        <v>AsarBartar</v>
      </c>
    </row>
    <row r="2397" spans="1:7" x14ac:dyDescent="0.25">
      <c r="A2397" t="str">
        <f>"New Analytical Approaches for Verifying the Origin of Food"</f>
        <v>New Analytical Approaches for Verifying the Origin of Food</v>
      </c>
      <c r="B2397" t="str">
        <f>"9780081015483"</f>
        <v>9780081015483</v>
      </c>
      <c r="C2397">
        <v>184.5</v>
      </c>
      <c r="D2397" t="str">
        <f t="shared" ref="D2397:D2437" si="160">"USD"</f>
        <v>USD</v>
      </c>
      <c r="E2397" t="str">
        <f t="shared" si="159"/>
        <v>2017</v>
      </c>
      <c r="F2397" t="str">
        <f>"Brereton"</f>
        <v>Brereton</v>
      </c>
      <c r="G2397" t="str">
        <f>"dehkadehketab"</f>
        <v>dehkadehketab</v>
      </c>
    </row>
    <row r="2398" spans="1:7" x14ac:dyDescent="0.25">
      <c r="A2398" t="str">
        <f>"New Aspects of Meat Quality, From Genes to Ethics"</f>
        <v>New Aspects of Meat Quality, From Genes to Ethics</v>
      </c>
      <c r="B2398" t="str">
        <f>"9780081005736"</f>
        <v>9780081005736</v>
      </c>
      <c r="C2398">
        <v>270</v>
      </c>
      <c r="D2398" t="str">
        <f t="shared" si="160"/>
        <v>USD</v>
      </c>
      <c r="E2398" t="str">
        <f t="shared" si="159"/>
        <v>2017</v>
      </c>
      <c r="F2398" t="str">
        <f>"Purslow"</f>
        <v>Purslow</v>
      </c>
      <c r="G2398" t="str">
        <f>"dehkadehketab"</f>
        <v>dehkadehketab</v>
      </c>
    </row>
    <row r="2399" spans="1:7" x14ac:dyDescent="0.25">
      <c r="A2399" t="str">
        <f>"New Polymers for Encapsulation of Nutraceutical Compounds"</f>
        <v>New Polymers for Encapsulation of Nutraceutical Compounds</v>
      </c>
      <c r="B2399" t="str">
        <f>"9781119228790"</f>
        <v>9781119228790</v>
      </c>
      <c r="C2399">
        <v>148.5</v>
      </c>
      <c r="D2399" t="str">
        <f t="shared" si="160"/>
        <v>USD</v>
      </c>
      <c r="E2399" t="str">
        <f t="shared" si="159"/>
        <v>2017</v>
      </c>
      <c r="F2399" t="str">
        <f>"Ruiz Ruiz"</f>
        <v>Ruiz Ruiz</v>
      </c>
      <c r="G2399" t="str">
        <f>"avanddanesh"</f>
        <v>avanddanesh</v>
      </c>
    </row>
    <row r="2400" spans="1:7" x14ac:dyDescent="0.25">
      <c r="A2400" t="str">
        <f>"No More Takeout:A Visual Do-It-Yourself Guide to Cooking"</f>
        <v>No More Takeout:A Visual Do-It-Yourself Guide to Cooking</v>
      </c>
      <c r="B2400" t="str">
        <f>"9780470169988"</f>
        <v>9780470169988</v>
      </c>
      <c r="C2400">
        <v>10</v>
      </c>
      <c r="D2400" t="str">
        <f t="shared" si="160"/>
        <v>USD</v>
      </c>
      <c r="E2400" t="str">
        <f>"2009"</f>
        <v>2009</v>
      </c>
      <c r="F2400" t="str">
        <f>"Hartigan"</f>
        <v>Hartigan</v>
      </c>
      <c r="G2400" t="str">
        <f>"safirketab"</f>
        <v>safirketab</v>
      </c>
    </row>
    <row r="2401" spans="1:7" x14ac:dyDescent="0.25">
      <c r="A2401" t="str">
        <f>"Non-Chemical Weed Control"</f>
        <v>Non-Chemical Weed Control</v>
      </c>
      <c r="B2401" t="str">
        <f>"9780128098783"</f>
        <v>9780128098783</v>
      </c>
      <c r="C2401">
        <v>44.95</v>
      </c>
      <c r="D2401" t="str">
        <f t="shared" si="160"/>
        <v>USD</v>
      </c>
      <c r="E2401" t="str">
        <f>"2018"</f>
        <v>2018</v>
      </c>
      <c r="F2401" t="str">
        <f>"Jabran and Chauhan"</f>
        <v>Jabran and Chauhan</v>
      </c>
      <c r="G2401" t="str">
        <f>"dehkadehketab"</f>
        <v>dehkadehketab</v>
      </c>
    </row>
    <row r="2402" spans="1:7" x14ac:dyDescent="0.25">
      <c r="A2402" t="str">
        <f>"Nonparametrics for Sensory Science: A More Informative Approach"</f>
        <v>Nonparametrics for Sensory Science: A More Informative Approach</v>
      </c>
      <c r="B2402" t="str">
        <f>"9780813811123"</f>
        <v>9780813811123</v>
      </c>
      <c r="C2402">
        <v>113.99</v>
      </c>
      <c r="D2402" t="str">
        <f t="shared" si="160"/>
        <v>USD</v>
      </c>
      <c r="E2402" t="str">
        <f>"2006"</f>
        <v>2006</v>
      </c>
      <c r="F2402" t="str">
        <f>"Rayner"</f>
        <v>Rayner</v>
      </c>
      <c r="G2402" t="str">
        <f>"safirketab"</f>
        <v>safirketab</v>
      </c>
    </row>
    <row r="2403" spans="1:7" x14ac:dyDescent="0.25">
      <c r="A2403" t="str">
        <f>"Nonthermal Processing Technologies for Food"</f>
        <v>Nonthermal Processing Technologies for Food</v>
      </c>
      <c r="B2403" t="str">
        <f>"9780813816685"</f>
        <v>9780813816685</v>
      </c>
      <c r="C2403">
        <v>136</v>
      </c>
      <c r="D2403" t="str">
        <f t="shared" si="160"/>
        <v>USD</v>
      </c>
      <c r="E2403" t="str">
        <f>"2011"</f>
        <v>2011</v>
      </c>
      <c r="F2403" t="str">
        <f>"Zhang"</f>
        <v>Zhang</v>
      </c>
      <c r="G2403" t="str">
        <f>"avanddanesh"</f>
        <v>avanddanesh</v>
      </c>
    </row>
    <row r="2404" spans="1:7" x14ac:dyDescent="0.25">
      <c r="A2404" t="str">
        <f>"Nonthermal Processing Technologies for Food"</f>
        <v>Nonthermal Processing Technologies for Food</v>
      </c>
      <c r="B2404" t="str">
        <f>"9780813816685"</f>
        <v>9780813816685</v>
      </c>
      <c r="C2404">
        <v>136</v>
      </c>
      <c r="D2404" t="str">
        <f t="shared" si="160"/>
        <v>USD</v>
      </c>
      <c r="E2404" t="str">
        <f>"2011"</f>
        <v>2011</v>
      </c>
      <c r="F2404" t="str">
        <f>"Zhang"</f>
        <v>Zhang</v>
      </c>
      <c r="G2404" t="str">
        <f>"safirketab"</f>
        <v>safirketab</v>
      </c>
    </row>
    <row r="2405" spans="1:7" x14ac:dyDescent="0.25">
      <c r="A2405" t="str">
        <f>"Novel Plant Bioresources: Applications in Food, Medicine and Cosmetics"</f>
        <v>Novel Plant Bioresources: Applications in Food, Medicine and Cosmetics</v>
      </c>
      <c r="B2405" t="str">
        <f>"9781118460610"</f>
        <v>9781118460610</v>
      </c>
      <c r="C2405">
        <v>146.30000000000001</v>
      </c>
      <c r="D2405" t="str">
        <f t="shared" si="160"/>
        <v>USD</v>
      </c>
      <c r="E2405" t="str">
        <f>"2014"</f>
        <v>2014</v>
      </c>
      <c r="F2405" t="str">
        <f>"Gurib-Fakim"</f>
        <v>Gurib-Fakim</v>
      </c>
      <c r="G2405" t="str">
        <f>"avanddanesh"</f>
        <v>avanddanesh</v>
      </c>
    </row>
    <row r="2406" spans="1:7" x14ac:dyDescent="0.25">
      <c r="A2406" t="str">
        <f>"Nutraceutical and Functional Food Components"</f>
        <v>Nutraceutical and Functional Food Components</v>
      </c>
      <c r="B2406" t="str">
        <f>"9780128052532"</f>
        <v>9780128052532</v>
      </c>
      <c r="C2406">
        <v>180</v>
      </c>
      <c r="D2406" t="str">
        <f t="shared" si="160"/>
        <v>USD</v>
      </c>
      <c r="E2406" t="str">
        <f>"2017"</f>
        <v>2017</v>
      </c>
      <c r="F2406" t="str">
        <f>"Galanakis, Charis Mi"</f>
        <v>Galanakis, Charis Mi</v>
      </c>
      <c r="G2406" t="str">
        <f>"dehkadehketab"</f>
        <v>dehkadehketab</v>
      </c>
    </row>
    <row r="2407" spans="1:7" x14ac:dyDescent="0.25">
      <c r="A2407" t="str">
        <f>"Nutraceutical and Functional Food Processing Technology"</f>
        <v>Nutraceutical and Functional Food Processing Technology</v>
      </c>
      <c r="B2407" t="str">
        <f>"9781118504949"</f>
        <v>9781118504949</v>
      </c>
      <c r="C2407">
        <v>132</v>
      </c>
      <c r="D2407" t="str">
        <f t="shared" si="160"/>
        <v>USD</v>
      </c>
      <c r="E2407" t="str">
        <f>"2015"</f>
        <v>2015</v>
      </c>
      <c r="F2407" t="str">
        <f>"Boye"</f>
        <v>Boye</v>
      </c>
      <c r="G2407" t="str">
        <f>"avanddanesh"</f>
        <v>avanddanesh</v>
      </c>
    </row>
    <row r="2408" spans="1:7" x14ac:dyDescent="0.25">
      <c r="A2408" t="str">
        <f>"Nutraceutical and Functional Food Regulations in the United States and Around the World, 2nd Edition"</f>
        <v>Nutraceutical and Functional Food Regulations in the United States and Around the World, 2nd Edition</v>
      </c>
      <c r="B2408" t="str">
        <f>"9780128101414"</f>
        <v>9780128101414</v>
      </c>
      <c r="C2408">
        <v>126</v>
      </c>
      <c r="D2408" t="str">
        <f t="shared" si="160"/>
        <v>USD</v>
      </c>
      <c r="E2408" t="str">
        <f>"2017"</f>
        <v>2017</v>
      </c>
      <c r="F2408" t="str">
        <f>"Bagchi"</f>
        <v>Bagchi</v>
      </c>
      <c r="G2408" t="str">
        <f>"dehkadehketab"</f>
        <v>dehkadehketab</v>
      </c>
    </row>
    <row r="2409" spans="1:7" x14ac:dyDescent="0.25">
      <c r="A2409" t="str">
        <f>"NUTRACEUTICALS &amp; FUNCTIONAL FOODS : Conventional And Non-Conventional Sources, HB"</f>
        <v>NUTRACEUTICALS &amp; FUNCTIONAL FOODS : Conventional And Non-Conventional Sources, HB</v>
      </c>
      <c r="B2409" t="str">
        <f>"9781933699592"</f>
        <v>9781933699592</v>
      </c>
      <c r="C2409">
        <v>66.5</v>
      </c>
      <c r="D2409" t="str">
        <f t="shared" si="160"/>
        <v>USD</v>
      </c>
      <c r="E2409" t="str">
        <f>"2011"</f>
        <v>2011</v>
      </c>
      <c r="F2409" t="str">
        <f>"Jaramillo-Flores"</f>
        <v>Jaramillo-Flores</v>
      </c>
      <c r="G2409" t="str">
        <f>"supply"</f>
        <v>supply</v>
      </c>
    </row>
    <row r="2410" spans="1:7" x14ac:dyDescent="0.25">
      <c r="A2410" t="str">
        <f>"Nutraceuticals and Innovative Food Products for Healthy Living and Preventive Care"</f>
        <v>Nutraceuticals and Innovative Food Products for Healthy Living and Preventive Care</v>
      </c>
      <c r="B2410" t="str">
        <f>"9781522529705"</f>
        <v>9781522529705</v>
      </c>
      <c r="C2410">
        <v>183.8</v>
      </c>
      <c r="D2410" t="str">
        <f t="shared" si="160"/>
        <v>USD</v>
      </c>
      <c r="E2410" t="str">
        <f>"2018"</f>
        <v>2018</v>
      </c>
      <c r="F2410" t="str">
        <f>"Amit Verma"</f>
        <v>Amit Verma</v>
      </c>
      <c r="G2410" t="str">
        <f>"arzinbooks"</f>
        <v>arzinbooks</v>
      </c>
    </row>
    <row r="2411" spans="1:7" x14ac:dyDescent="0.25">
      <c r="A2411" t="str">
        <f>"Nutrigenomics and Proteomics in Health and Disease: Towards a systems-level understanding of gene-diet interactions,2e"</f>
        <v>Nutrigenomics and Proteomics in Health and Disease: Towards a systems-level understanding of gene-diet interactions,2e</v>
      </c>
      <c r="B2411" t="str">
        <f>"9781119098836"</f>
        <v>9781119098836</v>
      </c>
      <c r="C2411">
        <v>180</v>
      </c>
      <c r="D2411" t="str">
        <f t="shared" si="160"/>
        <v>USD</v>
      </c>
      <c r="E2411" t="str">
        <f>"2017"</f>
        <v>2017</v>
      </c>
      <c r="F2411" t="str">
        <f>"Kussmann"</f>
        <v>Kussmann</v>
      </c>
      <c r="G2411" t="str">
        <f>"avanddanesh"</f>
        <v>avanddanesh</v>
      </c>
    </row>
    <row r="2412" spans="1:7" x14ac:dyDescent="0.25">
      <c r="A2412" t="str">
        <f>"Nutrigenomics and Proteomics in Health and Disease:Food Factors and Gene Interactions"</f>
        <v>Nutrigenomics and Proteomics in Health and Disease:Food Factors and Gene Interactions</v>
      </c>
      <c r="B2412" t="str">
        <f>"9780813800332"</f>
        <v>9780813800332</v>
      </c>
      <c r="C2412">
        <v>200.95</v>
      </c>
      <c r="D2412" t="str">
        <f t="shared" si="160"/>
        <v>USD</v>
      </c>
      <c r="E2412" t="str">
        <f>"2009"</f>
        <v>2009</v>
      </c>
      <c r="F2412" t="str">
        <f>"Mine"</f>
        <v>Mine</v>
      </c>
      <c r="G2412" t="str">
        <f>"safirketab"</f>
        <v>safirketab</v>
      </c>
    </row>
    <row r="2413" spans="1:7" x14ac:dyDescent="0.25">
      <c r="A2413" t="str">
        <f>"Nutrition - A Lifespan Approach"</f>
        <v>Nutrition - A Lifespan Approach</v>
      </c>
      <c r="B2413" t="str">
        <f>"9781405178785"</f>
        <v>9781405178785</v>
      </c>
      <c r="C2413">
        <v>63.72</v>
      </c>
      <c r="D2413" t="str">
        <f t="shared" si="160"/>
        <v>USD</v>
      </c>
      <c r="E2413" t="str">
        <f>"2009"</f>
        <v>2009</v>
      </c>
      <c r="F2413" t="str">
        <f>"Langley-Evans"</f>
        <v>Langley-Evans</v>
      </c>
      <c r="G2413" t="str">
        <f>"safirketab"</f>
        <v>safirketab</v>
      </c>
    </row>
    <row r="2414" spans="1:7" x14ac:dyDescent="0.25">
      <c r="A2414" t="str">
        <f>"Nutrition and Arthritis"</f>
        <v>Nutrition and Arthritis</v>
      </c>
      <c r="B2414" t="str">
        <f>"9781405124188"</f>
        <v>9781405124188</v>
      </c>
      <c r="C2414">
        <v>40</v>
      </c>
      <c r="D2414" t="str">
        <f t="shared" si="160"/>
        <v>USD</v>
      </c>
      <c r="E2414" t="str">
        <f>"2006"</f>
        <v>2006</v>
      </c>
      <c r="F2414" t="str">
        <f>"Rayman"</f>
        <v>Rayman</v>
      </c>
      <c r="G2414" t="str">
        <f>"safirketab"</f>
        <v>safirketab</v>
      </c>
    </row>
    <row r="2415" spans="1:7" x14ac:dyDescent="0.25">
      <c r="A2415" t="str">
        <f>"Nutrition and Enhanced Sports Performance, Muscle Building, Endurance, and Strength"</f>
        <v>Nutrition and Enhanced Sports Performance, Muscle Building, Endurance, and Strength</v>
      </c>
      <c r="B2415" t="str">
        <f>"9780128100509"</f>
        <v>9780128100509</v>
      </c>
      <c r="C2415">
        <v>125.95</v>
      </c>
      <c r="D2415" t="str">
        <f t="shared" si="160"/>
        <v>USD</v>
      </c>
      <c r="E2415" t="str">
        <f>"2017"</f>
        <v>2017</v>
      </c>
      <c r="F2415" t="str">
        <f>"Bagchi et al"</f>
        <v>Bagchi et al</v>
      </c>
      <c r="G2415" t="str">
        <f>"dehkadehketab"</f>
        <v>dehkadehketab</v>
      </c>
    </row>
    <row r="2416" spans="1:7" x14ac:dyDescent="0.25">
      <c r="A2416" t="str">
        <f>"Nutrition and Functional Foods for Healthy Aging"</f>
        <v>Nutrition and Functional Foods for Healthy Aging</v>
      </c>
      <c r="B2416" t="str">
        <f>"9780128053768"</f>
        <v>9780128053768</v>
      </c>
      <c r="C2416">
        <v>157.5</v>
      </c>
      <c r="D2416" t="str">
        <f t="shared" si="160"/>
        <v>USD</v>
      </c>
      <c r="E2416" t="str">
        <f>"2017"</f>
        <v>2017</v>
      </c>
      <c r="F2416" t="str">
        <f>"Watson"</f>
        <v>Watson</v>
      </c>
      <c r="G2416" t="str">
        <f>"dehkadehketab"</f>
        <v>dehkadehketab</v>
      </c>
    </row>
    <row r="2417" spans="1:7" x14ac:dyDescent="0.25">
      <c r="A2417" t="str">
        <f>"Nutrition at a Glance"</f>
        <v>Nutrition at a Glance</v>
      </c>
      <c r="B2417" t="str">
        <f>"9781405134873"</f>
        <v>9781405134873</v>
      </c>
      <c r="C2417">
        <v>12.4</v>
      </c>
      <c r="D2417" t="str">
        <f t="shared" si="160"/>
        <v>USD</v>
      </c>
      <c r="E2417" t="str">
        <f>"2007"</f>
        <v>2007</v>
      </c>
      <c r="F2417" t="str">
        <f>"Barasi"</f>
        <v>Barasi</v>
      </c>
      <c r="G2417" t="str">
        <f>"safirketab"</f>
        <v>safirketab</v>
      </c>
    </row>
    <row r="2418" spans="1:7" x14ac:dyDescent="0.25">
      <c r="A2418" t="str">
        <f>"Nutrition for Foodservice and Culinary Professionals 7e"</f>
        <v>Nutrition for Foodservice and Culinary Professionals 7e</v>
      </c>
      <c r="B2418" t="str">
        <f>"9780470052426"</f>
        <v>9780470052426</v>
      </c>
      <c r="C2418">
        <v>31.5</v>
      </c>
      <c r="D2418" t="str">
        <f t="shared" si="160"/>
        <v>USD</v>
      </c>
      <c r="E2418" t="str">
        <f>"2009"</f>
        <v>2009</v>
      </c>
      <c r="F2418" t="str">
        <f>"Drummond"</f>
        <v>Drummond</v>
      </c>
      <c r="G2418" t="str">
        <f>"safirketab"</f>
        <v>safirketab</v>
      </c>
    </row>
    <row r="2419" spans="1:7" x14ac:dyDescent="0.25">
      <c r="A2419" t="str">
        <f>"Nutrition in the Prevention and Treatment of Disease, 3rd Edition"</f>
        <v>Nutrition in the Prevention and Treatment of Disease, 3rd Edition</v>
      </c>
      <c r="B2419" t="str">
        <f>"9780128100387"</f>
        <v>9780128100387</v>
      </c>
      <c r="C2419">
        <v>89.95</v>
      </c>
      <c r="D2419" t="str">
        <f t="shared" si="160"/>
        <v>USD</v>
      </c>
      <c r="E2419" t="str">
        <f>"2017"</f>
        <v>2017</v>
      </c>
      <c r="F2419" t="str">
        <f>"Ferruzzi et al"</f>
        <v>Ferruzzi et al</v>
      </c>
      <c r="G2419" t="str">
        <f>"dehkadehketab"</f>
        <v>dehkadehketab</v>
      </c>
    </row>
    <row r="2420" spans="1:7" x14ac:dyDescent="0.25">
      <c r="A2420" t="str">
        <f>"Nutrition in Traditional Therapeutic Foods Vol. 1, HB,   "</f>
        <v xml:space="preserve">Nutrition in Traditional Therapeutic Foods Vol. 1, HB,   </v>
      </c>
      <c r="B2420" t="str">
        <f>"9788170358671"</f>
        <v>9788170358671</v>
      </c>
      <c r="C2420">
        <v>30.8</v>
      </c>
      <c r="D2420" t="str">
        <f t="shared" si="160"/>
        <v>USD</v>
      </c>
      <c r="E2420" t="str">
        <f>"2013"</f>
        <v>2013</v>
      </c>
      <c r="F2420" t="str">
        <f>"Subbulakshmi, G "</f>
        <v xml:space="preserve">Subbulakshmi, G </v>
      </c>
      <c r="G2420" t="str">
        <f>"supply"</f>
        <v>supply</v>
      </c>
    </row>
    <row r="2421" spans="1:7" x14ac:dyDescent="0.25">
      <c r="A2421" t="str">
        <f>"Nutrition,2e Booklet Package"</f>
        <v>Nutrition,2e Booklet Package</v>
      </c>
      <c r="B2421" t="str">
        <f>"9780470626740"</f>
        <v>9780470626740</v>
      </c>
      <c r="C2421">
        <v>132</v>
      </c>
      <c r="D2421" t="str">
        <f t="shared" si="160"/>
        <v>USD</v>
      </c>
      <c r="E2421" t="str">
        <f>"2010"</f>
        <v>2010</v>
      </c>
      <c r="F2421" t="str">
        <f>"Smolin"</f>
        <v>Smolin</v>
      </c>
      <c r="G2421" t="str">
        <f>"avanddanesh"</f>
        <v>avanddanesh</v>
      </c>
    </row>
    <row r="2422" spans="1:7" x14ac:dyDescent="0.25">
      <c r="A2422" t="str">
        <f>"Nutrition: Science and Applications with Booklet Package 1st Edition with iProfile Password Card and Wiley Plus Set"</f>
        <v>Nutrition: Science and Applications with Booklet Package 1st Edition with iProfile Password Card and Wiley Plus Set</v>
      </c>
      <c r="B2422" t="str">
        <f>"9780471420859"</f>
        <v>9780471420859</v>
      </c>
      <c r="C2422">
        <v>25.2</v>
      </c>
      <c r="D2422" t="str">
        <f t="shared" si="160"/>
        <v>USD</v>
      </c>
      <c r="E2422" t="str">
        <f>"2007"</f>
        <v>2007</v>
      </c>
      <c r="F2422" t="str">
        <f>"Smolin-Life &amp; Medica"</f>
        <v>Smolin-Life &amp; Medica</v>
      </c>
      <c r="G2422" t="str">
        <f>"safirketab"</f>
        <v>safirketab</v>
      </c>
    </row>
    <row r="2423" spans="1:7" x14ac:dyDescent="0.25">
      <c r="A2423" t="str">
        <f>"Nutrition:Science and Applications with Booklet package"</f>
        <v>Nutrition:Science and Applications with Booklet package</v>
      </c>
      <c r="B2423" t="str">
        <f>"9780470626740"</f>
        <v>9780470626740</v>
      </c>
      <c r="C2423">
        <v>132</v>
      </c>
      <c r="D2423" t="str">
        <f t="shared" si="160"/>
        <v>USD</v>
      </c>
      <c r="E2423" t="str">
        <f>"2010"</f>
        <v>2010</v>
      </c>
      <c r="F2423" t="str">
        <f>"Smolin"</f>
        <v>Smolin</v>
      </c>
      <c r="G2423" t="str">
        <f>"safirketab"</f>
        <v>safirketab</v>
      </c>
    </row>
    <row r="2424" spans="1:7" x14ac:dyDescent="0.25">
      <c r="A2424" t="str">
        <f>"Oils and Fats in the Food Industry"</f>
        <v>Oils and Fats in the Food Industry</v>
      </c>
      <c r="B2424" t="str">
        <f>"9781405171212"</f>
        <v>9781405171212</v>
      </c>
      <c r="C2424">
        <v>44.99</v>
      </c>
      <c r="D2424" t="str">
        <f t="shared" si="160"/>
        <v>USD</v>
      </c>
      <c r="E2424" t="str">
        <f>"2008"</f>
        <v>2008</v>
      </c>
      <c r="F2424" t="str">
        <f>"Gunstone"</f>
        <v>Gunstone</v>
      </c>
      <c r="G2424" t="str">
        <f>"safirketab"</f>
        <v>safirketab</v>
      </c>
    </row>
    <row r="2425" spans="1:7" x14ac:dyDescent="0.25">
      <c r="A2425" t="str">
        <f>"Olive Mill Waste"</f>
        <v>Olive Mill Waste</v>
      </c>
      <c r="B2425" t="str">
        <f>"9780128053133"</f>
        <v>9780128053133</v>
      </c>
      <c r="C2425">
        <v>112.5</v>
      </c>
      <c r="D2425" t="str">
        <f t="shared" si="160"/>
        <v>USD</v>
      </c>
      <c r="E2425" t="str">
        <f>"2017"</f>
        <v>2017</v>
      </c>
      <c r="F2425" t="str">
        <f>"Galanakis, Charis Mi"</f>
        <v>Galanakis, Charis Mi</v>
      </c>
      <c r="G2425" t="str">
        <f>"dehkadehketab"</f>
        <v>dehkadehketab</v>
      </c>
    </row>
    <row r="2426" spans="1:7" x14ac:dyDescent="0.25">
      <c r="A2426" t="str">
        <f>"Olive Oil Sensory Science"</f>
        <v>Olive Oil Sensory Science</v>
      </c>
      <c r="B2426" t="str">
        <f>"9781118332528"</f>
        <v>9781118332528</v>
      </c>
      <c r="C2426">
        <v>127.5</v>
      </c>
      <c r="D2426" t="str">
        <f t="shared" si="160"/>
        <v>USD</v>
      </c>
      <c r="E2426" t="str">
        <f>"2014"</f>
        <v>2014</v>
      </c>
      <c r="F2426" t="str">
        <f>"Monteleone"</f>
        <v>Monteleone</v>
      </c>
      <c r="G2426" t="str">
        <f>"avanddanesh"</f>
        <v>avanddanesh</v>
      </c>
    </row>
    <row r="2427" spans="1:7" x14ac:dyDescent="0.25">
      <c r="A2427" t="str">
        <f>"Olives and Olive Oil as Functional Foods: Bioactivity, Chemistry and Processing"</f>
        <v>Olives and Olive Oil as Functional Foods: Bioactivity, Chemistry and Processing</v>
      </c>
      <c r="B2427" t="str">
        <f>"9781119135319"</f>
        <v>9781119135319</v>
      </c>
      <c r="C2427">
        <v>171</v>
      </c>
      <c r="D2427" t="str">
        <f t="shared" si="160"/>
        <v>USD</v>
      </c>
      <c r="E2427" t="str">
        <f>"2017"</f>
        <v>2017</v>
      </c>
      <c r="F2427" t="str">
        <f>"Kiritsakis"</f>
        <v>Kiritsakis</v>
      </c>
      <c r="G2427" t="str">
        <f>"avanddanesh"</f>
        <v>avanddanesh</v>
      </c>
    </row>
    <row r="2428" spans="1:7" x14ac:dyDescent="0.25">
      <c r="A2428" t="str">
        <f>"Omics, Microbial Modeling and Technologies for Foodborne Pathogens"</f>
        <v>Omics, Microbial Modeling and Technologies for Foodborne Pathogens</v>
      </c>
      <c r="B2428" t="str">
        <f>"9781605950471"</f>
        <v>9781605950471</v>
      </c>
      <c r="C2428">
        <v>162.18</v>
      </c>
      <c r="D2428" t="str">
        <f t="shared" si="160"/>
        <v>USD</v>
      </c>
      <c r="E2428" t="str">
        <f>"2012"</f>
        <v>2012</v>
      </c>
      <c r="F2428" t="str">
        <f>"Yan, Xianghe"</f>
        <v>Yan, Xianghe</v>
      </c>
      <c r="G2428" t="str">
        <f>"safirketab"</f>
        <v>safirketab</v>
      </c>
    </row>
    <row r="2429" spans="1:7" x14ac:dyDescent="0.25">
      <c r="A2429" t="str">
        <f>"Open Innovation in the Food and Beverage Industry"</f>
        <v>Open Innovation in the Food and Beverage Industry</v>
      </c>
      <c r="B2429" t="str">
        <f>"9780081015971"</f>
        <v>9780081015971</v>
      </c>
      <c r="C2429">
        <v>243</v>
      </c>
      <c r="D2429" t="str">
        <f t="shared" si="160"/>
        <v>USD</v>
      </c>
      <c r="E2429" t="str">
        <f>"2017"</f>
        <v>2017</v>
      </c>
      <c r="F2429" t="str">
        <f>"Garcia Martinez"</f>
        <v>Garcia Martinez</v>
      </c>
      <c r="G2429" t="str">
        <f>"dehkadehketab"</f>
        <v>dehkadehketab</v>
      </c>
    </row>
    <row r="2430" spans="1:7" x14ac:dyDescent="0.25">
      <c r="A2430" t="str">
        <f>"Organic Production and Food Quality: A Down to Earth Analysis"</f>
        <v>Organic Production and Food Quality: A Down to Earth Analysis</v>
      </c>
      <c r="B2430" t="str">
        <f>"9780813812175"</f>
        <v>9780813812175</v>
      </c>
      <c r="C2430">
        <v>92.4</v>
      </c>
      <c r="D2430" t="str">
        <f t="shared" si="160"/>
        <v>USD</v>
      </c>
      <c r="E2430" t="str">
        <f>"2011"</f>
        <v>2011</v>
      </c>
      <c r="F2430" t="str">
        <f>"Blair"</f>
        <v>Blair</v>
      </c>
      <c r="G2430" t="str">
        <f>"avanddanesh"</f>
        <v>avanddanesh</v>
      </c>
    </row>
    <row r="2431" spans="1:7" x14ac:dyDescent="0.25">
      <c r="A2431" t="str">
        <f>"Organizational Psychology: A Scientist-Practitioner Approach,3e"</f>
        <v>Organizational Psychology: A Scientist-Practitioner Approach,3e</v>
      </c>
      <c r="B2431" t="str">
        <f>"9781118724071"</f>
        <v>9781118724071</v>
      </c>
      <c r="C2431">
        <v>108</v>
      </c>
      <c r="D2431" t="str">
        <f t="shared" si="160"/>
        <v>USD</v>
      </c>
      <c r="E2431" t="str">
        <f>"2015"</f>
        <v>2015</v>
      </c>
      <c r="F2431" t="str">
        <f>"Jex"</f>
        <v>Jex</v>
      </c>
      <c r="G2431" t="str">
        <f>"avanddanesh"</f>
        <v>avanddanesh</v>
      </c>
    </row>
    <row r="2432" spans="1:7" x14ac:dyDescent="0.25">
      <c r="A2432" t="str">
        <f>"Packaging for Nonthermal Processing of Food"</f>
        <v>Packaging for Nonthermal Processing of Food</v>
      </c>
      <c r="B2432" t="str">
        <f>"9780813819440"</f>
        <v>9780813819440</v>
      </c>
      <c r="C2432">
        <v>92.4</v>
      </c>
      <c r="D2432" t="str">
        <f t="shared" si="160"/>
        <v>USD</v>
      </c>
      <c r="E2432" t="str">
        <f>"2007"</f>
        <v>2007</v>
      </c>
      <c r="F2432" t="str">
        <f>"Han"</f>
        <v>Han</v>
      </c>
      <c r="G2432" t="str">
        <f>"avanddanesh"</f>
        <v>avanddanesh</v>
      </c>
    </row>
    <row r="2433" spans="1:7" x14ac:dyDescent="0.25">
      <c r="A2433" t="str">
        <f>"Packaging Research in Food Product Design and Development"</f>
        <v>Packaging Research in Food Product Design and Development</v>
      </c>
      <c r="B2433" t="str">
        <f>"9780813812229"</f>
        <v>9780813812229</v>
      </c>
      <c r="C2433">
        <v>177.7</v>
      </c>
      <c r="D2433" t="str">
        <f t="shared" si="160"/>
        <v>USD</v>
      </c>
      <c r="E2433" t="str">
        <f>"2009"</f>
        <v>2009</v>
      </c>
      <c r="F2433" t="str">
        <f>"Moskowitz"</f>
        <v>Moskowitz</v>
      </c>
      <c r="G2433" t="str">
        <f>"safirketab"</f>
        <v>safirketab</v>
      </c>
    </row>
    <row r="2434" spans="1:7" x14ac:dyDescent="0.25">
      <c r="A2434" t="str">
        <f>"Packaging Technology, Fundamentals, Materials and Processes"</f>
        <v>Packaging Technology, Fundamentals, Materials and Processes</v>
      </c>
      <c r="B2434" t="str">
        <f>"9780081013441"</f>
        <v>9780081013441</v>
      </c>
      <c r="C2434">
        <v>274.5</v>
      </c>
      <c r="D2434" t="str">
        <f t="shared" si="160"/>
        <v>USD</v>
      </c>
      <c r="E2434" t="str">
        <f>"2017"</f>
        <v>2017</v>
      </c>
      <c r="F2434" t="str">
        <f>"Emblem"</f>
        <v>Emblem</v>
      </c>
      <c r="G2434" t="str">
        <f>"dehkadehketab"</f>
        <v>dehkadehketab</v>
      </c>
    </row>
    <row r="2435" spans="1:7" x14ac:dyDescent="0.25">
      <c r="A2435" t="str">
        <f>"Paleo All-In-One For Dummies"</f>
        <v>Paleo All-In-One For Dummies</v>
      </c>
      <c r="B2435" t="str">
        <f>"9781119022770"</f>
        <v>9781119022770</v>
      </c>
      <c r="C2435">
        <v>21.6</v>
      </c>
      <c r="D2435" t="str">
        <f t="shared" si="160"/>
        <v>USD</v>
      </c>
      <c r="E2435" t="str">
        <f>"2015"</f>
        <v>2015</v>
      </c>
      <c r="F2435" t="str">
        <f>"Consumer Dummies"</f>
        <v>Consumer Dummies</v>
      </c>
      <c r="G2435" t="str">
        <f>"avanddanesh"</f>
        <v>avanddanesh</v>
      </c>
    </row>
    <row r="2436" spans="1:7" x14ac:dyDescent="0.25">
      <c r="A2436" t="str">
        <f>"Paleo Diet Cookbook: More than 150 recipes for Paleo Breakfasts, Lunches, Dinners, Snacks, and Beverages"</f>
        <v>Paleo Diet Cookbook: More than 150 recipes for Paleo Breakfasts, Lunches, Dinners, Snacks, and Beverages</v>
      </c>
      <c r="B2436" t="str">
        <f>"9780470913048"</f>
        <v>9780470913048</v>
      </c>
      <c r="C2436">
        <v>8</v>
      </c>
      <c r="D2436" t="str">
        <f t="shared" si="160"/>
        <v>USD</v>
      </c>
      <c r="E2436" t="str">
        <f>"2011"</f>
        <v>2011</v>
      </c>
      <c r="F2436" t="str">
        <f>"Cordain"</f>
        <v>Cordain</v>
      </c>
      <c r="G2436" t="str">
        <f>"avanddanesh"</f>
        <v>avanddanesh</v>
      </c>
    </row>
    <row r="2437" spans="1:7" x14ac:dyDescent="0.25">
      <c r="A2437" t="str">
        <f>"Party Vegan: Fabulous, Fun Food For Every Occasion"</f>
        <v>Party Vegan: Fabulous, Fun Food For Every Occasion</v>
      </c>
      <c r="B2437" t="str">
        <f>"9780470472231"</f>
        <v>9780470472231</v>
      </c>
      <c r="C2437">
        <v>7.2</v>
      </c>
      <c r="D2437" t="str">
        <f t="shared" si="160"/>
        <v>USD</v>
      </c>
      <c r="E2437" t="str">
        <f>"2010"</f>
        <v>2010</v>
      </c>
      <c r="F2437" t="str">
        <f>"Robertson"</f>
        <v>Robertson</v>
      </c>
      <c r="G2437" t="str">
        <f>"avanddanesh"</f>
        <v>avanddanesh</v>
      </c>
    </row>
    <row r="2438" spans="1:7" x14ac:dyDescent="0.25">
      <c r="A2438" t="str">
        <f>"Peanut Processing Characteristics and Quality Evaluation"</f>
        <v>Peanut Processing Characteristics and Quality Evaluation</v>
      </c>
      <c r="B2438" t="str">
        <f>"9789811061745"</f>
        <v>9789811061745</v>
      </c>
      <c r="C2438">
        <v>161.99</v>
      </c>
      <c r="D2438" t="str">
        <f>"EUR"</f>
        <v>EUR</v>
      </c>
      <c r="E2438" t="str">
        <f>"2018"</f>
        <v>2018</v>
      </c>
      <c r="F2438" t="str">
        <f>"Wang"</f>
        <v>Wang</v>
      </c>
      <c r="G2438" t="str">
        <f>"negarestanabi"</f>
        <v>negarestanabi</v>
      </c>
    </row>
    <row r="2439" spans="1:7" x14ac:dyDescent="0.25">
      <c r="A2439" t="str">
        <f>"Perfect Meal: Multisensory Science of Food and Dining"</f>
        <v>Perfect Meal: Multisensory Science of Food and Dining</v>
      </c>
      <c r="B2439" t="str">
        <f>"9781118490822"</f>
        <v>9781118490822</v>
      </c>
      <c r="C2439">
        <v>26.2</v>
      </c>
      <c r="D2439" t="str">
        <f>"USD"</f>
        <v>USD</v>
      </c>
      <c r="E2439" t="str">
        <f>"2014"</f>
        <v>2014</v>
      </c>
      <c r="F2439" t="str">
        <f>"Spence"</f>
        <v>Spence</v>
      </c>
      <c r="G2439" t="str">
        <f>"avanddanesh"</f>
        <v>avanddanesh</v>
      </c>
    </row>
    <row r="2440" spans="1:7" x14ac:dyDescent="0.25">
      <c r="A2440" t="str">
        <f>"Perspectives in World Food and Agriculture 2004, V2"</f>
        <v>Perspectives in World Food and Agriculture 2004, V2</v>
      </c>
      <c r="B2440" t="str">
        <f>"9780813820316"</f>
        <v>9780813820316</v>
      </c>
      <c r="C2440">
        <v>88</v>
      </c>
      <c r="D2440" t="str">
        <f>"USD"</f>
        <v>USD</v>
      </c>
      <c r="E2440" t="str">
        <f>"2005"</f>
        <v>2005</v>
      </c>
      <c r="F2440" t="str">
        <f>"Miranowski"</f>
        <v>Miranowski</v>
      </c>
      <c r="G2440" t="str">
        <f>"avanddanesh"</f>
        <v>avanddanesh</v>
      </c>
    </row>
    <row r="2441" spans="1:7" x14ac:dyDescent="0.25">
      <c r="A2441" t="str">
        <f>"Pesticide Residue in Foods: Sources. Management. and Control"</f>
        <v>Pesticide Residue in Foods: Sources. Management. and Control</v>
      </c>
      <c r="B2441" t="str">
        <f>"9783319526812"</f>
        <v>9783319526812</v>
      </c>
      <c r="C2441">
        <v>125.99</v>
      </c>
      <c r="D2441" t="str">
        <f>"EUR"</f>
        <v>EUR</v>
      </c>
      <c r="E2441" t="str">
        <f>"2017"</f>
        <v>2017</v>
      </c>
      <c r="F2441" t="str">
        <f>"Khan"</f>
        <v>Khan</v>
      </c>
      <c r="G2441" t="str">
        <f>"negarestanabi"</f>
        <v>negarestanabi</v>
      </c>
    </row>
    <row r="2442" spans="1:7" x14ac:dyDescent="0.25">
      <c r="A2442" t="str">
        <f>"Phase Transitions In Foods, , 2Nd Edition"</f>
        <v>Phase Transitions In Foods, , 2Nd Edition</v>
      </c>
      <c r="B2442" t="str">
        <f>"9780124080867"</f>
        <v>9780124080867</v>
      </c>
      <c r="C2442">
        <v>112.5</v>
      </c>
      <c r="D2442" t="str">
        <f t="shared" ref="D2442:D2452" si="161">"USD"</f>
        <v>USD</v>
      </c>
      <c r="E2442" t="str">
        <f>"2015"</f>
        <v>2015</v>
      </c>
      <c r="F2442" t="str">
        <f>"N/A*"</f>
        <v>N/A*</v>
      </c>
      <c r="G2442" t="str">
        <f>"dehkadehketab"</f>
        <v>dehkadehketab</v>
      </c>
    </row>
    <row r="2443" spans="1:7" x14ac:dyDescent="0.25">
      <c r="A2443" t="str">
        <f>"Phycotoxins: Chemistry and Biochemistry"</f>
        <v>Phycotoxins: Chemistry and Biochemistry</v>
      </c>
      <c r="B2443" t="str">
        <f>"9780813827001"</f>
        <v>9780813827001</v>
      </c>
      <c r="C2443">
        <v>137.99</v>
      </c>
      <c r="D2443" t="str">
        <f t="shared" si="161"/>
        <v>USD</v>
      </c>
      <c r="E2443" t="str">
        <f>"2007"</f>
        <v>2007</v>
      </c>
      <c r="F2443" t="str">
        <f>"Botana"</f>
        <v>Botana</v>
      </c>
      <c r="G2443" t="str">
        <f>"safirketab"</f>
        <v>safirketab</v>
      </c>
    </row>
    <row r="2444" spans="1:7" x14ac:dyDescent="0.25">
      <c r="A2444" t="str">
        <f>"Phycotoxins: Chemistry and Biochemistry,2e"</f>
        <v>Phycotoxins: Chemistry and Biochemistry,2e</v>
      </c>
      <c r="B2444" t="str">
        <f>"9781118500361"</f>
        <v>9781118500361</v>
      </c>
      <c r="C2444">
        <v>160</v>
      </c>
      <c r="D2444" t="str">
        <f t="shared" si="161"/>
        <v>USD</v>
      </c>
      <c r="E2444" t="str">
        <f>"2015"</f>
        <v>2015</v>
      </c>
      <c r="F2444" t="str">
        <f>"Botana"</f>
        <v>Botana</v>
      </c>
      <c r="G2444" t="str">
        <f>"avanddanesh"</f>
        <v>avanddanesh</v>
      </c>
    </row>
    <row r="2445" spans="1:7" x14ac:dyDescent="0.25">
      <c r="A2445" t="str">
        <f>"Phytochemicals As Nutraceuticals : Global Approaches To Their Role In Nutrition And Health, HB,          'NEW'"</f>
        <v>Phytochemicals As Nutraceuticals : Global Approaches To Their Role In Nutrition And Health, HB,          'NEW'</v>
      </c>
      <c r="B2445" t="str">
        <f>"9789535102038"</f>
        <v>9789535102038</v>
      </c>
      <c r="C2445">
        <v>63</v>
      </c>
      <c r="D2445" t="str">
        <f t="shared" si="161"/>
        <v>USD</v>
      </c>
      <c r="E2445" t="str">
        <f>"2014"</f>
        <v>2014</v>
      </c>
      <c r="F2445" t="str">
        <f>"Rao V."</f>
        <v>Rao V.</v>
      </c>
      <c r="G2445" t="str">
        <f>"supply"</f>
        <v>supply</v>
      </c>
    </row>
    <row r="2446" spans="1:7" x14ac:dyDescent="0.25">
      <c r="A2446" t="str">
        <f>"Pig: King of the Southern Table"</f>
        <v>Pig: King of the Southern Table</v>
      </c>
      <c r="B2446" t="str">
        <f>"9780470194010"</f>
        <v>9780470194010</v>
      </c>
      <c r="C2446">
        <v>14</v>
      </c>
      <c r="D2446" t="str">
        <f t="shared" si="161"/>
        <v>USD</v>
      </c>
      <c r="E2446" t="str">
        <f>"2010"</f>
        <v>2010</v>
      </c>
      <c r="F2446" t="str">
        <f>"Villas"</f>
        <v>Villas</v>
      </c>
      <c r="G2446" t="str">
        <f>"avanddanesh"</f>
        <v>avanddanesh</v>
      </c>
    </row>
    <row r="2447" spans="1:7" x14ac:dyDescent="0.25">
      <c r="A2447" t="str">
        <f>"Pillsbury Best of the Bake-Off Cookies"</f>
        <v>Pillsbury Best of the Bake-Off Cookies</v>
      </c>
      <c r="B2447" t="str">
        <f>"9780470111383"</f>
        <v>9780470111383</v>
      </c>
      <c r="C2447">
        <v>7.2</v>
      </c>
      <c r="D2447" t="str">
        <f t="shared" si="161"/>
        <v>USD</v>
      </c>
      <c r="E2447" t="str">
        <f>"2008"</f>
        <v>2008</v>
      </c>
      <c r="F2447" t="str">
        <f>"Pillsbury Edtrs"</f>
        <v>Pillsbury Edtrs</v>
      </c>
      <c r="G2447" t="str">
        <f>"avanddanesh"</f>
        <v>avanddanesh</v>
      </c>
    </row>
    <row r="2448" spans="1:7" x14ac:dyDescent="0.25">
      <c r="A2448" t="str">
        <f>"Pillsbury Easy as Pie: 140 Simple Recipes + 1 Readymade Pie Crust = Sweet Success"</f>
        <v>Pillsbury Easy as Pie: 140 Simple Recipes + 1 Readymade Pie Crust = Sweet Success</v>
      </c>
      <c r="B2448" t="str">
        <f>"9780470485538"</f>
        <v>9780470485538</v>
      </c>
      <c r="C2448">
        <v>8</v>
      </c>
      <c r="D2448" t="str">
        <f t="shared" si="161"/>
        <v>USD</v>
      </c>
      <c r="E2448" t="str">
        <f>"2010"</f>
        <v>2010</v>
      </c>
      <c r="F2448" t="str">
        <f>"Pillsbury"</f>
        <v>Pillsbury</v>
      </c>
      <c r="G2448" t="str">
        <f>"avanddanesh"</f>
        <v>avanddanesh</v>
      </c>
    </row>
    <row r="2449" spans="1:7" x14ac:dyDescent="0.25">
      <c r="A2449" t="str">
        <f>"Pillsbury Fast and Healthy Meals for Kids"</f>
        <v>Pillsbury Fast and Healthy Meals for Kids</v>
      </c>
      <c r="B2449" t="str">
        <f>"9780470647257"</f>
        <v>9780470647257</v>
      </c>
      <c r="C2449">
        <v>8</v>
      </c>
      <c r="D2449" t="str">
        <f t="shared" si="161"/>
        <v>USD</v>
      </c>
      <c r="E2449" t="str">
        <f>"2010"</f>
        <v>2010</v>
      </c>
      <c r="F2449" t="str">
        <f>"Pillsbury"</f>
        <v>Pillsbury</v>
      </c>
      <c r="G2449" t="str">
        <f>"avanddanesh"</f>
        <v>avanddanesh</v>
      </c>
    </row>
    <row r="2450" spans="1:7" x14ac:dyDescent="0.25">
      <c r="A2450" t="str">
        <f>"Polyphenols: Properties, Recovery, and Applications"</f>
        <v>Polyphenols: Properties, Recovery, and Applications</v>
      </c>
      <c r="B2450" t="str">
        <f>"9780128135556"</f>
        <v>9780128135556</v>
      </c>
      <c r="C2450">
        <v>225</v>
      </c>
      <c r="D2450" t="str">
        <f t="shared" si="161"/>
        <v>USD</v>
      </c>
      <c r="E2450" t="str">
        <f>"2018"</f>
        <v>2018</v>
      </c>
      <c r="F2450" t="str">
        <f>"Galanakis"</f>
        <v>Galanakis</v>
      </c>
      <c r="G2450" t="str">
        <f>"dehkadehketab"</f>
        <v>dehkadehketab</v>
      </c>
    </row>
    <row r="2451" spans="1:7" x14ac:dyDescent="0.25">
      <c r="A2451" t="str">
        <f>"Postharvest Biology and Technology of Fruits, Vegetables, and Flowers"</f>
        <v>Postharvest Biology and Technology of Fruits, Vegetables, and Flowers</v>
      </c>
      <c r="B2451" t="str">
        <f>"9780813804088"</f>
        <v>9780813804088</v>
      </c>
      <c r="C2451">
        <v>200.96</v>
      </c>
      <c r="D2451" t="str">
        <f t="shared" si="161"/>
        <v>USD</v>
      </c>
      <c r="E2451" t="str">
        <f>"2009"</f>
        <v>2009</v>
      </c>
      <c r="F2451" t="str">
        <f>"Paliyath"</f>
        <v>Paliyath</v>
      </c>
      <c r="G2451" t="str">
        <f>"safirketab"</f>
        <v>safirketab</v>
      </c>
    </row>
    <row r="2452" spans="1:7" x14ac:dyDescent="0.25">
      <c r="A2452" t="str">
        <f>"Postharvest Decay, Control Strategies"</f>
        <v>Postharvest Decay, Control Strategies</v>
      </c>
      <c r="B2452" t="str">
        <f>"9780128101452"</f>
        <v>9780128101452</v>
      </c>
      <c r="C2452">
        <v>134.94999999999999</v>
      </c>
      <c r="D2452" t="str">
        <f t="shared" si="161"/>
        <v>USD</v>
      </c>
      <c r="E2452" t="str">
        <f>"2017"</f>
        <v>2017</v>
      </c>
      <c r="F2452" t="str">
        <f>"Bautista-BaÃ±os"</f>
        <v>Bautista-BaÃ±os</v>
      </c>
      <c r="G2452" t="str">
        <f>"dehkadehketab"</f>
        <v>dehkadehketab</v>
      </c>
    </row>
    <row r="2453" spans="1:7" x14ac:dyDescent="0.25">
      <c r="A2453" t="str">
        <f>"Postharvest Management Approaches for Maintaining Quality of Fresh Produce"</f>
        <v>Postharvest Management Approaches for Maintaining Quality of Fresh Produce</v>
      </c>
      <c r="B2453" t="str">
        <f>"9783319235813"</f>
        <v>9783319235813</v>
      </c>
      <c r="C2453">
        <v>98.99</v>
      </c>
      <c r="D2453" t="str">
        <f>"EUR"</f>
        <v>EUR</v>
      </c>
      <c r="E2453" t="str">
        <f>"2016"</f>
        <v>2016</v>
      </c>
      <c r="F2453" t="str">
        <f>"Siddiqui"</f>
        <v>Siddiqui</v>
      </c>
      <c r="G2453" t="str">
        <f>"negarestanabi"</f>
        <v>negarestanabi</v>
      </c>
    </row>
    <row r="2454" spans="1:7" x14ac:dyDescent="0.25">
      <c r="A2454" t="str">
        <f>"Poultry Quality Evaluation, Quality Attributes and Consumer Values"</f>
        <v>Poultry Quality Evaluation, Quality Attributes and Consumer Values</v>
      </c>
      <c r="B2454" t="str">
        <f>"9780081007501"</f>
        <v>9780081007501</v>
      </c>
      <c r="C2454">
        <v>180</v>
      </c>
      <c r="D2454" t="str">
        <f t="shared" ref="D2454:D2463" si="162">"USD"</f>
        <v>USD</v>
      </c>
      <c r="E2454" t="str">
        <f>"2017"</f>
        <v>2017</v>
      </c>
      <c r="F2454" t="str">
        <f>"Petracci and Berri"</f>
        <v>Petracci and Berri</v>
      </c>
      <c r="G2454" t="str">
        <f>"dehkadehketab"</f>
        <v>dehkadehketab</v>
      </c>
    </row>
    <row r="2455" spans="1:7" x14ac:dyDescent="0.25">
      <c r="A2455" t="str">
        <f>"Practical Food Safety: Contemporary Issues and Future Directions"</f>
        <v>Practical Food Safety: Contemporary Issues and Future Directions</v>
      </c>
      <c r="B2455" t="str">
        <f>"9781118474600"</f>
        <v>9781118474600</v>
      </c>
      <c r="C2455">
        <v>146.30000000000001</v>
      </c>
      <c r="D2455" t="str">
        <f t="shared" si="162"/>
        <v>USD</v>
      </c>
      <c r="E2455" t="str">
        <f>"2014"</f>
        <v>2014</v>
      </c>
      <c r="F2455" t="str">
        <f>"Bhat"</f>
        <v>Bhat</v>
      </c>
      <c r="G2455" t="str">
        <f>"avanddanesh"</f>
        <v>avanddanesh</v>
      </c>
    </row>
    <row r="2456" spans="1:7" x14ac:dyDescent="0.25">
      <c r="A2456" t="str">
        <f>"Practical Guide to Vegetable Oil Processing"</f>
        <v>Practical Guide to Vegetable Oil Processing</v>
      </c>
      <c r="B2456" t="str">
        <f>"9781600611445"</f>
        <v>9781600611445</v>
      </c>
      <c r="C2456">
        <v>180</v>
      </c>
      <c r="D2456" t="str">
        <f t="shared" si="162"/>
        <v>USD</v>
      </c>
      <c r="E2456" t="str">
        <f>"2017"</f>
        <v>2017</v>
      </c>
      <c r="F2456" t="str">
        <f>"Gupta, Monoj"</f>
        <v>Gupta, Monoj</v>
      </c>
      <c r="G2456" t="str">
        <f>"dehkadehketab"</f>
        <v>dehkadehketab</v>
      </c>
    </row>
    <row r="2457" spans="1:7" x14ac:dyDescent="0.25">
      <c r="A2457" t="str">
        <f>"Principles Of Cereal Science And Technology, 3/ed, HB"</f>
        <v>Principles Of Cereal Science And Technology, 3/ed, HB</v>
      </c>
      <c r="B2457" t="str">
        <f>"9781891127632"</f>
        <v>9781891127632</v>
      </c>
      <c r="C2457">
        <v>139.30000000000001</v>
      </c>
      <c r="D2457" t="str">
        <f t="shared" si="162"/>
        <v>USD</v>
      </c>
      <c r="E2457" t="str">
        <f>"2010"</f>
        <v>2010</v>
      </c>
      <c r="F2457" t="str">
        <f>"Delcour"</f>
        <v>Delcour</v>
      </c>
      <c r="G2457" t="str">
        <f>"supply"</f>
        <v>supply</v>
      </c>
    </row>
    <row r="2458" spans="1:7" x14ac:dyDescent="0.25">
      <c r="A2458" t="str">
        <f>"Principles Of Enzymology For The Food Science, HB"</f>
        <v>Principles Of Enzymology For The Food Science, HB</v>
      </c>
      <c r="B2458" t="str">
        <f>"9789350300817"</f>
        <v>9789350300817</v>
      </c>
      <c r="C2458">
        <v>34.020000000000003</v>
      </c>
      <c r="D2458" t="str">
        <f t="shared" si="162"/>
        <v>USD</v>
      </c>
      <c r="E2458" t="str">
        <f>"2012"</f>
        <v>2012</v>
      </c>
      <c r="F2458" t="str">
        <f>"Choudhary"</f>
        <v>Choudhary</v>
      </c>
      <c r="G2458" t="str">
        <f>"supply"</f>
        <v>supply</v>
      </c>
    </row>
    <row r="2459" spans="1:7" x14ac:dyDescent="0.25">
      <c r="A2459" t="str">
        <f>"Principles Of Milk Production, HB"</f>
        <v>Principles Of Milk Production, HB</v>
      </c>
      <c r="B2459" t="str">
        <f>"9788190906593"</f>
        <v>9788190906593</v>
      </c>
      <c r="C2459">
        <v>24.71</v>
      </c>
      <c r="D2459" t="str">
        <f t="shared" si="162"/>
        <v>USD</v>
      </c>
      <c r="E2459" t="str">
        <f>"2010"</f>
        <v>2010</v>
      </c>
      <c r="F2459" t="str">
        <f>"Nevens"</f>
        <v>Nevens</v>
      </c>
      <c r="G2459" t="str">
        <f>"supply"</f>
        <v>supply</v>
      </c>
    </row>
    <row r="2460" spans="1:7" x14ac:dyDescent="0.25">
      <c r="A2460" t="str">
        <f>"Probiotic Dairy Products,2e"</f>
        <v>Probiotic Dairy Products,2e</v>
      </c>
      <c r="B2460" t="str">
        <f>"9781119214106"</f>
        <v>9781119214106</v>
      </c>
      <c r="C2460">
        <v>148.5</v>
      </c>
      <c r="D2460" t="str">
        <f t="shared" si="162"/>
        <v>USD</v>
      </c>
      <c r="E2460" t="str">
        <f>"2018"</f>
        <v>2018</v>
      </c>
      <c r="F2460" t="str">
        <f>"Tamime"</f>
        <v>Tamime</v>
      </c>
      <c r="G2460" t="str">
        <f>"avanddanesh"</f>
        <v>avanddanesh</v>
      </c>
    </row>
    <row r="2461" spans="1:7" x14ac:dyDescent="0.25">
      <c r="A2461" t="str">
        <f>"Probiotics and Health Claims"</f>
        <v>Probiotics and Health Claims</v>
      </c>
      <c r="B2461" t="str">
        <f>"9781405194914"</f>
        <v>9781405194914</v>
      </c>
      <c r="C2461">
        <v>174.71</v>
      </c>
      <c r="D2461" t="str">
        <f t="shared" si="162"/>
        <v>USD</v>
      </c>
      <c r="E2461" t="str">
        <f>"2011"</f>
        <v>2011</v>
      </c>
      <c r="F2461" t="str">
        <f>"Kneifel"</f>
        <v>Kneifel</v>
      </c>
      <c r="G2461" t="str">
        <f>"safirketab"</f>
        <v>safirketab</v>
      </c>
    </row>
    <row r="2462" spans="1:7" x14ac:dyDescent="0.25">
      <c r="A2462" t="str">
        <f>"Process-Induced Food Toxicants:Occurrence, Formation, Mitigation, and Health Risks"</f>
        <v>Process-Induced Food Toxicants:Occurrence, Formation, Mitigation, and Health Risks</v>
      </c>
      <c r="B2462" t="str">
        <f>"9780470074756"</f>
        <v>9780470074756</v>
      </c>
      <c r="C2462">
        <v>122.2</v>
      </c>
      <c r="D2462" t="str">
        <f t="shared" si="162"/>
        <v>USD</v>
      </c>
      <c r="E2462" t="str">
        <f>"2009"</f>
        <v>2009</v>
      </c>
      <c r="F2462" t="str">
        <f>"Stadler"</f>
        <v>Stadler</v>
      </c>
      <c r="G2462" t="str">
        <f>"safirketab"</f>
        <v>safirketab</v>
      </c>
    </row>
    <row r="2463" spans="1:7" x14ac:dyDescent="0.25">
      <c r="A2463" t="str">
        <f>"Processing and Impact on Antioxidants in Beverages"</f>
        <v>Processing and Impact on Antioxidants in Beverages</v>
      </c>
      <c r="B2463" t="str">
        <f>"9780128102848"</f>
        <v>9780128102848</v>
      </c>
      <c r="C2463">
        <v>180</v>
      </c>
      <c r="D2463" t="str">
        <f t="shared" si="162"/>
        <v>USD</v>
      </c>
      <c r="E2463" t="str">
        <f>"2017"</f>
        <v>2017</v>
      </c>
      <c r="F2463" t="str">
        <f>"Preedy"</f>
        <v>Preedy</v>
      </c>
      <c r="G2463" t="str">
        <f>"dehkadehketab"</f>
        <v>dehkadehketab</v>
      </c>
    </row>
    <row r="2464" spans="1:7" x14ac:dyDescent="0.25">
      <c r="A2464" t="str">
        <f>"PROCESSING EFFECTS ON SAFETY AND QUALITY OF FOODS"</f>
        <v>PROCESSING EFFECTS ON SAFETY AND QUALITY OF FOODS</v>
      </c>
      <c r="B2464" t="str">
        <f>"9781420061123"</f>
        <v>9781420061123</v>
      </c>
      <c r="C2464">
        <v>35.700000000000003</v>
      </c>
      <c r="D2464" t="str">
        <f>"GBP"</f>
        <v>GBP</v>
      </c>
      <c r="E2464" t="str">
        <f>"2010"</f>
        <v>2010</v>
      </c>
      <c r="F2464" t="str">
        <f>"ENRIQUE ORTEGA-RIVA"</f>
        <v>ENRIQUE ORTEGA-RIVA</v>
      </c>
      <c r="G2464" t="str">
        <f>"AsarBartar"</f>
        <v>AsarBartar</v>
      </c>
    </row>
    <row r="2465" spans="1:7" x14ac:dyDescent="0.25">
      <c r="A2465" t="str">
        <f>"Professional Bread Baking"</f>
        <v>Professional Bread Baking</v>
      </c>
      <c r="B2465" t="str">
        <f>"9781118435878"</f>
        <v>9781118435878</v>
      </c>
      <c r="C2465">
        <v>133.4</v>
      </c>
      <c r="D2465" t="str">
        <f t="shared" ref="D2465:D2474" si="163">"USD"</f>
        <v>USD</v>
      </c>
      <c r="E2465" t="str">
        <f>"2016"</f>
        <v>2016</v>
      </c>
      <c r="F2465" t="str">
        <f>"Welker"</f>
        <v>Welker</v>
      </c>
      <c r="G2465" t="str">
        <f>"avanddanesh"</f>
        <v>avanddanesh</v>
      </c>
    </row>
    <row r="2466" spans="1:7" x14ac:dyDescent="0.25">
      <c r="A2466" t="str">
        <f>"Professional Cake Decorating,2e"</f>
        <v>Professional Cake Decorating,2e</v>
      </c>
      <c r="B2466" t="str">
        <f>"9780470380093"</f>
        <v>9780470380093</v>
      </c>
      <c r="C2466">
        <v>163.80000000000001</v>
      </c>
      <c r="D2466" t="str">
        <f t="shared" si="163"/>
        <v>USD</v>
      </c>
      <c r="E2466" t="str">
        <f>"2012"</f>
        <v>2012</v>
      </c>
      <c r="F2466" t="str">
        <f>"Garrett"</f>
        <v>Garrett</v>
      </c>
      <c r="G2466" t="str">
        <f>"avanddanesh"</f>
        <v>avanddanesh</v>
      </c>
    </row>
    <row r="2467" spans="1:7" x14ac:dyDescent="0.25">
      <c r="A2467" t="str">
        <f>"Professional Chef"</f>
        <v>Professional Chef</v>
      </c>
      <c r="B2467" t="str">
        <f>"9780470421352"</f>
        <v>9780470421352</v>
      </c>
      <c r="C2467">
        <v>121.6</v>
      </c>
      <c r="D2467" t="str">
        <f t="shared" si="163"/>
        <v>USD</v>
      </c>
      <c r="E2467" t="str">
        <f>"2011"</f>
        <v>2011</v>
      </c>
      <c r="F2467" t="str">
        <f>"CIA"</f>
        <v>CIA</v>
      </c>
      <c r="G2467" t="str">
        <f>"avanddanesh"</f>
        <v>avanddanesh</v>
      </c>
    </row>
    <row r="2468" spans="1:7" x14ac:dyDescent="0.25">
      <c r="A2468" t="str">
        <f>"Progress in Food Preservation"</f>
        <v>Progress in Food Preservation</v>
      </c>
      <c r="B2468" t="str">
        <f>"9780470655856"</f>
        <v>9780470655856</v>
      </c>
      <c r="C2468">
        <v>126</v>
      </c>
      <c r="D2468" t="str">
        <f t="shared" si="163"/>
        <v>USD</v>
      </c>
      <c r="E2468" t="str">
        <f>"2012"</f>
        <v>2012</v>
      </c>
      <c r="F2468" t="str">
        <f>"Bhat"</f>
        <v>Bhat</v>
      </c>
      <c r="G2468" t="str">
        <f>"avanddanesh"</f>
        <v>avanddanesh</v>
      </c>
    </row>
    <row r="2469" spans="1:7" x14ac:dyDescent="0.25">
      <c r="A2469" t="str">
        <f>"Proteomics in Food Science, From Farm to Fork"</f>
        <v>Proteomics in Food Science, From Farm to Fork</v>
      </c>
      <c r="B2469" t="str">
        <f>"9780128040003"</f>
        <v>9780128040003</v>
      </c>
      <c r="C2469">
        <v>135</v>
      </c>
      <c r="D2469" t="str">
        <f t="shared" si="163"/>
        <v>USD</v>
      </c>
      <c r="E2469" t="str">
        <f>"2017"</f>
        <v>2017</v>
      </c>
      <c r="F2469" t="str">
        <f>"Colgrave"</f>
        <v>Colgrave</v>
      </c>
      <c r="G2469" t="str">
        <f>"dehkadehketab"</f>
        <v>dehkadehketab</v>
      </c>
    </row>
    <row r="2470" spans="1:7" x14ac:dyDescent="0.25">
      <c r="A2470" t="str">
        <f>"Pseudocereals: Chemistry and Technology"</f>
        <v>Pseudocereals: Chemistry and Technology</v>
      </c>
      <c r="B2470" t="str">
        <f>"9781118938287"</f>
        <v>9781118938287</v>
      </c>
      <c r="C2470">
        <v>148.5</v>
      </c>
      <c r="D2470" t="str">
        <f t="shared" si="163"/>
        <v>USD</v>
      </c>
      <c r="E2470" t="str">
        <f>"2017"</f>
        <v>2017</v>
      </c>
      <c r="F2470" t="str">
        <f>"Haros"</f>
        <v>Haros</v>
      </c>
      <c r="G2470" t="str">
        <f>"avanddanesh"</f>
        <v>avanddanesh</v>
      </c>
    </row>
    <row r="2471" spans="1:7" x14ac:dyDescent="0.25">
      <c r="A2471" t="str">
        <f>"Purchasing for Chefs - A Concise Guide 2e"</f>
        <v>Purchasing for Chefs - A Concise Guide 2e</v>
      </c>
      <c r="B2471" t="str">
        <f>"9780470292167"</f>
        <v>9780470292167</v>
      </c>
      <c r="C2471">
        <v>30</v>
      </c>
      <c r="D2471" t="str">
        <f t="shared" si="163"/>
        <v>USD</v>
      </c>
      <c r="E2471" t="str">
        <f>"2010"</f>
        <v>2010</v>
      </c>
      <c r="F2471" t="str">
        <f>"Feinstein"</f>
        <v>Feinstein</v>
      </c>
      <c r="G2471" t="str">
        <f>"safirketab"</f>
        <v>safirketab</v>
      </c>
    </row>
    <row r="2472" spans="1:7" x14ac:dyDescent="0.25">
      <c r="A2472" t="str">
        <f>"Purposely Profitable: Embedding Sustainability into the DNA of Food Processing and other Businesses"</f>
        <v>Purposely Profitable: Embedding Sustainability into the DNA of Food Processing and other Businesses</v>
      </c>
      <c r="B2472" t="str">
        <f>"9781118978153"</f>
        <v>9781118978153</v>
      </c>
      <c r="C2472">
        <v>55.3</v>
      </c>
      <c r="D2472" t="str">
        <f t="shared" si="163"/>
        <v>USD</v>
      </c>
      <c r="E2472" t="str">
        <f>"2016"</f>
        <v>2016</v>
      </c>
      <c r="F2472" t="str">
        <f>"Wills"</f>
        <v>Wills</v>
      </c>
      <c r="G2472" t="str">
        <f>"avanddanesh"</f>
        <v>avanddanesh</v>
      </c>
    </row>
    <row r="2473" spans="1:7" x14ac:dyDescent="0.25">
      <c r="A2473" t="str">
        <f>"Quantitative Microbiology in Food Processing: Modeling the Microbial Ecology"</f>
        <v>Quantitative Microbiology in Food Processing: Modeling the Microbial Ecology</v>
      </c>
      <c r="B2473" t="str">
        <f>"9781118756423"</f>
        <v>9781118756423</v>
      </c>
      <c r="C2473">
        <v>180</v>
      </c>
      <c r="D2473" t="str">
        <f t="shared" si="163"/>
        <v>USD</v>
      </c>
      <c r="E2473" t="str">
        <f>"2017"</f>
        <v>2017</v>
      </c>
      <c r="F2473" t="str">
        <f>"de Souza Sant'A"</f>
        <v>de Souza Sant'A</v>
      </c>
      <c r="G2473" t="str">
        <f>"avanddanesh"</f>
        <v>avanddanesh</v>
      </c>
    </row>
    <row r="2474" spans="1:7" x14ac:dyDescent="0.25">
      <c r="A2474" t="str">
        <f>"Quantitative Sensory Analysis: Psychophysics, Models and Intelligent Design"</f>
        <v>Quantitative Sensory Analysis: Psychophysics, Models and Intelligent Design</v>
      </c>
      <c r="B2474" t="str">
        <f>"9780470673461"</f>
        <v>9780470673461</v>
      </c>
      <c r="C2474">
        <v>110.5</v>
      </c>
      <c r="D2474" t="str">
        <f t="shared" si="163"/>
        <v>USD</v>
      </c>
      <c r="E2474" t="str">
        <f>"2013"</f>
        <v>2013</v>
      </c>
      <c r="F2474" t="str">
        <f>"Lawless"</f>
        <v>Lawless</v>
      </c>
      <c r="G2474" t="str">
        <f>"avanddanesh"</f>
        <v>avanddanesh</v>
      </c>
    </row>
    <row r="2475" spans="1:7" x14ac:dyDescent="0.25">
      <c r="A2475" t="str">
        <f>"READY-TO-EAT FOODS MICROBIAL CONCERNS AND CONTROL MEASURES"</f>
        <v>READY-TO-EAT FOODS MICROBIAL CONCERNS AND CONTROL MEASURES</v>
      </c>
      <c r="B2475" t="str">
        <f>"9781420068627"</f>
        <v>9781420068627</v>
      </c>
      <c r="C2475">
        <v>28.5</v>
      </c>
      <c r="D2475" t="str">
        <f>"GBP"</f>
        <v>GBP</v>
      </c>
      <c r="E2475" t="str">
        <f>"2010"</f>
        <v>2010</v>
      </c>
      <c r="F2475" t="str">
        <f>"ANDY HWANG AND LIHA"</f>
        <v>ANDY HWANG AND LIHA</v>
      </c>
      <c r="G2475" t="str">
        <f>"AsarBartar"</f>
        <v>AsarBartar</v>
      </c>
    </row>
    <row r="2476" spans="1:7" x14ac:dyDescent="0.25">
      <c r="A2476" t="str">
        <f>"Recent Advances in Polyphenol Research, V5"</f>
        <v>Recent Advances in Polyphenol Research, V5</v>
      </c>
      <c r="B2476" t="str">
        <f>"9781118883266"</f>
        <v>9781118883266</v>
      </c>
      <c r="C2476">
        <v>171</v>
      </c>
      <c r="D2476" t="str">
        <f t="shared" ref="D2476:D2483" si="164">"USD"</f>
        <v>USD</v>
      </c>
      <c r="E2476" t="str">
        <f>"2017"</f>
        <v>2017</v>
      </c>
      <c r="F2476" t="str">
        <f>"Yoshida"</f>
        <v>Yoshida</v>
      </c>
      <c r="G2476" t="str">
        <f>"avanddanesh"</f>
        <v>avanddanesh</v>
      </c>
    </row>
    <row r="2477" spans="1:7" x14ac:dyDescent="0.25">
      <c r="A2477" t="str">
        <f>"Recipe of the Week: Ice Cream"</f>
        <v>Recipe of the Week: Ice Cream</v>
      </c>
      <c r="B2477" t="str">
        <f>"9780470169452"</f>
        <v>9780470169452</v>
      </c>
      <c r="C2477">
        <v>6.8</v>
      </c>
      <c r="D2477" t="str">
        <f t="shared" si="164"/>
        <v>USD</v>
      </c>
      <c r="E2477" t="str">
        <f>"2008"</f>
        <v>2008</v>
      </c>
      <c r="F2477" t="str">
        <f>"Sampson"</f>
        <v>Sampson</v>
      </c>
      <c r="G2477" t="str">
        <f>"avanddanesh"</f>
        <v>avanddanesh</v>
      </c>
    </row>
    <row r="2478" spans="1:7" x14ac:dyDescent="0.25">
      <c r="A2478" t="str">
        <f>"Recipe of the Week: Kabobs: 52 Easy Recipes for Year-Round Grilling"</f>
        <v>Recipe of the Week: Kabobs: 52 Easy Recipes for Year-Round Grilling</v>
      </c>
      <c r="B2478" t="str">
        <f>"9780471921400"</f>
        <v>9780471921400</v>
      </c>
      <c r="C2478">
        <v>6.8</v>
      </c>
      <c r="D2478" t="str">
        <f t="shared" si="164"/>
        <v>USD</v>
      </c>
      <c r="E2478" t="str">
        <f>"2007"</f>
        <v>2007</v>
      </c>
      <c r="F2478" t="str">
        <f>"Sampson"</f>
        <v>Sampson</v>
      </c>
      <c r="G2478" t="str">
        <f>"avanddanesh"</f>
        <v>avanddanesh</v>
      </c>
    </row>
    <row r="2479" spans="1:7" x14ac:dyDescent="0.25">
      <c r="A2479" t="str">
        <f>"Recovering Bioactive Compounds from Agricultural Wastes"</f>
        <v>Recovering Bioactive Compounds from Agricultural Wastes</v>
      </c>
      <c r="B2479" t="str">
        <f>"9781119168829"</f>
        <v>9781119168829</v>
      </c>
      <c r="C2479">
        <v>135</v>
      </c>
      <c r="D2479" t="str">
        <f t="shared" si="164"/>
        <v>USD</v>
      </c>
      <c r="E2479" t="str">
        <f>"2017"</f>
        <v>2017</v>
      </c>
      <c r="F2479" t="str">
        <f>"Nguyen"</f>
        <v>Nguyen</v>
      </c>
      <c r="G2479" t="str">
        <f>"avanddanesh"</f>
        <v>avanddanesh</v>
      </c>
    </row>
    <row r="2480" spans="1:7" x14ac:dyDescent="0.25">
      <c r="A2480" t="str">
        <f>"Regulating Safety Of Traditional And Ethnic Foods"</f>
        <v>Regulating Safety Of Traditional And Ethnic Foods</v>
      </c>
      <c r="B2480" t="str">
        <f>"9780128006054"</f>
        <v>9780128006054</v>
      </c>
      <c r="C2480">
        <v>112.5</v>
      </c>
      <c r="D2480" t="str">
        <f t="shared" si="164"/>
        <v>USD</v>
      </c>
      <c r="E2480" t="str">
        <f>"2015"</f>
        <v>2015</v>
      </c>
      <c r="F2480" t="str">
        <f>"N/A*"</f>
        <v>N/A*</v>
      </c>
      <c r="G2480" t="str">
        <f>"dehkadehketab"</f>
        <v>dehkadehketab</v>
      </c>
    </row>
    <row r="2481" spans="1:7" x14ac:dyDescent="0.25">
      <c r="A2481" t="str">
        <f>"Regulation of Functional Foods and Nutraceuticals: A Global Perspective"</f>
        <v>Regulation of Functional Foods and Nutraceuticals: A Global Perspective</v>
      </c>
      <c r="B2481" t="str">
        <f>"9780813811772"</f>
        <v>9780813811772</v>
      </c>
      <c r="C2481">
        <v>131.99</v>
      </c>
      <c r="D2481" t="str">
        <f t="shared" si="164"/>
        <v>USD</v>
      </c>
      <c r="E2481" t="str">
        <f>"2005"</f>
        <v>2005</v>
      </c>
      <c r="F2481" t="str">
        <f>"Hasler"</f>
        <v>Hasler</v>
      </c>
      <c r="G2481" t="str">
        <f>"safirketab"</f>
        <v>safirketab</v>
      </c>
    </row>
    <row r="2482" spans="1:7" x14ac:dyDescent="0.25">
      <c r="A2482" t="str">
        <f>"Resistant Starch"</f>
        <v>Resistant Starch</v>
      </c>
      <c r="B2482" t="str">
        <f>"9780813809519"</f>
        <v>9780813809519</v>
      </c>
      <c r="C2482">
        <v>138.4</v>
      </c>
      <c r="D2482" t="str">
        <f t="shared" si="164"/>
        <v>USD</v>
      </c>
      <c r="E2482" t="str">
        <f>"2013"</f>
        <v>2013</v>
      </c>
      <c r="F2482" t="str">
        <f>"Shi"</f>
        <v>Shi</v>
      </c>
      <c r="G2482" t="str">
        <f>"avanddanesh"</f>
        <v>avanddanesh</v>
      </c>
    </row>
    <row r="2483" spans="1:7" x14ac:dyDescent="0.25">
      <c r="A2483" t="str">
        <f>"RFID and Sensor Network Automation in the Food Industry: Ensuring Quality and Safety through Supply Chain Visibility"</f>
        <v>RFID and Sensor Network Automation in the Food Industry: Ensuring Quality and Safety through Supply Chain Visibility</v>
      </c>
      <c r="B2483" t="str">
        <f>"9781118967409"</f>
        <v>9781118967409</v>
      </c>
      <c r="C2483">
        <v>140.30000000000001</v>
      </c>
      <c r="D2483" t="str">
        <f t="shared" si="164"/>
        <v>USD</v>
      </c>
      <c r="E2483" t="str">
        <f>"2016"</f>
        <v>2016</v>
      </c>
      <c r="F2483" t="str">
        <f>"Piramuthu"</f>
        <v>Piramuthu</v>
      </c>
      <c r="G2483" t="str">
        <f>"avanddanesh"</f>
        <v>avanddanesh</v>
      </c>
    </row>
    <row r="2484" spans="1:7" x14ac:dyDescent="0.25">
      <c r="A2484" t="str">
        <f>"Rheology of Biological Soft Matter: Fundamentals and Applications"</f>
        <v>Rheology of Biological Soft Matter: Fundamentals and Applications</v>
      </c>
      <c r="B2484" t="str">
        <f>"9784431560784"</f>
        <v>9784431560784</v>
      </c>
      <c r="C2484">
        <v>107.99</v>
      </c>
      <c r="D2484" t="str">
        <f>"EUR"</f>
        <v>EUR</v>
      </c>
      <c r="E2484" t="str">
        <f>"2017"</f>
        <v>2017</v>
      </c>
      <c r="F2484" t="str">
        <f>"Kaneda"</f>
        <v>Kaneda</v>
      </c>
      <c r="G2484" t="str">
        <f>"negarestanabi"</f>
        <v>negarestanabi</v>
      </c>
    </row>
    <row r="2485" spans="1:7" x14ac:dyDescent="0.25">
      <c r="A2485" t="str">
        <f>"Rice Quality, A Guide to Rice Properties and Analysis"</f>
        <v>Rice Quality, A Guide to Rice Properties and Analysis</v>
      </c>
      <c r="B2485" t="str">
        <f>"9780081016879"</f>
        <v>9780081016879</v>
      </c>
      <c r="C2485">
        <v>261</v>
      </c>
      <c r="D2485" t="str">
        <f t="shared" ref="D2485:D2512" si="165">"USD"</f>
        <v>USD</v>
      </c>
      <c r="E2485" t="str">
        <f>"2017"</f>
        <v>2017</v>
      </c>
      <c r="F2485" t="str">
        <f>"Bhattacharya"</f>
        <v>Bhattacharya</v>
      </c>
      <c r="G2485" t="str">
        <f>"dehkadehketab"</f>
        <v>dehkadehketab</v>
      </c>
    </row>
    <row r="2486" spans="1:7" x14ac:dyDescent="0.25">
      <c r="A2486" t="str">
        <f>"Risk Assessment of Phytochemicals in Food: Novel Approaches"</f>
        <v>Risk Assessment of Phytochemicals in Food: Novel Approaches</v>
      </c>
      <c r="B2486" t="str">
        <f>"9783527329298"</f>
        <v>9783527329298</v>
      </c>
      <c r="C2486">
        <v>157.5</v>
      </c>
      <c r="D2486" t="str">
        <f t="shared" si="165"/>
        <v>USD</v>
      </c>
      <c r="E2486" t="str">
        <f>"2011"</f>
        <v>2011</v>
      </c>
      <c r="F2486" t="str">
        <f>"DFG"</f>
        <v>DFG</v>
      </c>
      <c r="G2486" t="str">
        <f>"safirketab"</f>
        <v>safirketab</v>
      </c>
    </row>
    <row r="2487" spans="1:7" x14ac:dyDescent="0.25">
      <c r="A2487" t="str">
        <f>"Robotics and Automation in the Food Industry, Current and Future Technologies"</f>
        <v>Robotics and Automation in the Food Industry, Current and Future Technologies</v>
      </c>
      <c r="B2487" t="str">
        <f>"9780081016107"</f>
        <v>9780081016107</v>
      </c>
      <c r="C2487">
        <v>252</v>
      </c>
      <c r="D2487" t="str">
        <f t="shared" si="165"/>
        <v>USD</v>
      </c>
      <c r="E2487" t="str">
        <f>"2017"</f>
        <v>2017</v>
      </c>
      <c r="F2487" t="str">
        <f>"Caldwell"</f>
        <v>Caldwell</v>
      </c>
      <c r="G2487" t="str">
        <f>"dehkadehketab"</f>
        <v>dehkadehketab</v>
      </c>
    </row>
    <row r="2488" spans="1:7" x14ac:dyDescent="0.25">
      <c r="A2488" t="str">
        <f>"Role of Materials Science in Food Bioengineering, Volume19"</f>
        <v>Role of Materials Science in Food Bioengineering, Volume19</v>
      </c>
      <c r="B2488" t="str">
        <f>"9780128114476"</f>
        <v>9780128114476</v>
      </c>
      <c r="C2488">
        <v>135</v>
      </c>
      <c r="D2488" t="str">
        <f t="shared" si="165"/>
        <v>USD</v>
      </c>
      <c r="E2488" t="str">
        <f>"2018"</f>
        <v>2018</v>
      </c>
      <c r="F2488" t="str">
        <f>"Grumezescu and Holba"</f>
        <v>Grumezescu and Holba</v>
      </c>
      <c r="G2488" t="str">
        <f>"dehkadehketab"</f>
        <v>dehkadehketab</v>
      </c>
    </row>
    <row r="2489" spans="1:7" x14ac:dyDescent="0.25">
      <c r="A2489" t="str">
        <f>"Sam the Cooking Guy: Just Grill This!"</f>
        <v>Sam the Cooking Guy: Just Grill This!</v>
      </c>
      <c r="B2489" t="str">
        <f>"9780470467930"</f>
        <v>9780470467930</v>
      </c>
      <c r="C2489">
        <v>8</v>
      </c>
      <c r="D2489" t="str">
        <f t="shared" si="165"/>
        <v>USD</v>
      </c>
      <c r="E2489" t="str">
        <f>"2011"</f>
        <v>2011</v>
      </c>
      <c r="F2489" t="str">
        <f>"Zien"</f>
        <v>Zien</v>
      </c>
      <c r="G2489" t="str">
        <f t="shared" ref="G2489:G2499" si="166">"avanddanesh"</f>
        <v>avanddanesh</v>
      </c>
    </row>
    <row r="2490" spans="1:7" x14ac:dyDescent="0.25">
      <c r="A2490" t="str">
        <f>"Sandra Lee Semi-Homemade 20-minute Meals"</f>
        <v>Sandra Lee Semi-Homemade 20-minute Meals</v>
      </c>
      <c r="B2490" t="str">
        <f>"9780696232633"</f>
        <v>9780696232633</v>
      </c>
      <c r="C2490">
        <v>8</v>
      </c>
      <c r="D2490" t="str">
        <f t="shared" si="165"/>
        <v>USD</v>
      </c>
      <c r="E2490" t="str">
        <f t="shared" ref="E2490:E2499" si="167">"2009"</f>
        <v>2009</v>
      </c>
      <c r="F2490" t="str">
        <f t="shared" ref="F2490:F2499" si="168">"Lee"</f>
        <v>Lee</v>
      </c>
      <c r="G2490" t="str">
        <f t="shared" si="166"/>
        <v>avanddanesh</v>
      </c>
    </row>
    <row r="2491" spans="1:7" x14ac:dyDescent="0.25">
      <c r="A2491" t="str">
        <f>"Sandra Lee Semi-Homemade 20-Minute Meals 2"</f>
        <v>Sandra Lee Semi-Homemade 20-Minute Meals 2</v>
      </c>
      <c r="B2491" t="str">
        <f>"9780696238161"</f>
        <v>9780696238161</v>
      </c>
      <c r="C2491">
        <v>8</v>
      </c>
      <c r="D2491" t="str">
        <f t="shared" si="165"/>
        <v>USD</v>
      </c>
      <c r="E2491" t="str">
        <f t="shared" si="167"/>
        <v>2009</v>
      </c>
      <c r="F2491" t="str">
        <f t="shared" si="168"/>
        <v>Lee</v>
      </c>
      <c r="G2491" t="str">
        <f t="shared" si="166"/>
        <v>avanddanesh</v>
      </c>
    </row>
    <row r="2492" spans="1:7" x14ac:dyDescent="0.25">
      <c r="A2492" t="str">
        <f>"Sandra Lee Semi-Homemade Cooking"</f>
        <v>Sandra Lee Semi-Homemade Cooking</v>
      </c>
      <c r="B2492" t="str">
        <f>"9780696226854"</f>
        <v>9780696226854</v>
      </c>
      <c r="C2492">
        <v>8</v>
      </c>
      <c r="D2492" t="str">
        <f t="shared" si="165"/>
        <v>USD</v>
      </c>
      <c r="E2492" t="str">
        <f t="shared" si="167"/>
        <v>2009</v>
      </c>
      <c r="F2492" t="str">
        <f t="shared" si="168"/>
        <v>Lee</v>
      </c>
      <c r="G2492" t="str">
        <f t="shared" si="166"/>
        <v>avanddanesh</v>
      </c>
    </row>
    <row r="2493" spans="1:7" x14ac:dyDescent="0.25">
      <c r="A2493" t="str">
        <f>"Sandra Lee Semi-Homemade Cooking 3"</f>
        <v>Sandra Lee Semi-Homemade Cooking 3</v>
      </c>
      <c r="B2493" t="str">
        <f>"9780696238147"</f>
        <v>9780696238147</v>
      </c>
      <c r="C2493">
        <v>8</v>
      </c>
      <c r="D2493" t="str">
        <f t="shared" si="165"/>
        <v>USD</v>
      </c>
      <c r="E2493" t="str">
        <f t="shared" si="167"/>
        <v>2009</v>
      </c>
      <c r="F2493" t="str">
        <f t="shared" si="168"/>
        <v>Lee</v>
      </c>
      <c r="G2493" t="str">
        <f t="shared" si="166"/>
        <v>avanddanesh</v>
      </c>
    </row>
    <row r="2494" spans="1:7" x14ac:dyDescent="0.25">
      <c r="A2494" t="str">
        <f>"Sandra Lee Semi-Homemade Cooking Made Light"</f>
        <v>Sandra Lee Semi-Homemade Cooking Made Light</v>
      </c>
      <c r="B2494" t="str">
        <f>"9780696232664"</f>
        <v>9780696232664</v>
      </c>
      <c r="C2494">
        <v>8</v>
      </c>
      <c r="D2494" t="str">
        <f t="shared" si="165"/>
        <v>USD</v>
      </c>
      <c r="E2494" t="str">
        <f t="shared" si="167"/>
        <v>2009</v>
      </c>
      <c r="F2494" t="str">
        <f t="shared" si="168"/>
        <v>Lee</v>
      </c>
      <c r="G2494" t="str">
        <f t="shared" si="166"/>
        <v>avanddanesh</v>
      </c>
    </row>
    <row r="2495" spans="1:7" x14ac:dyDescent="0.25">
      <c r="A2495" t="str">
        <f>"Sandra Lee Semi-Homemade Cool Kids' Cooking"</f>
        <v>Sandra Lee Semi-Homemade Cool Kids' Cooking</v>
      </c>
      <c r="B2495" t="str">
        <f>"9780696232657"</f>
        <v>9780696232657</v>
      </c>
      <c r="C2495">
        <v>6.8</v>
      </c>
      <c r="D2495" t="str">
        <f t="shared" si="165"/>
        <v>USD</v>
      </c>
      <c r="E2495" t="str">
        <f t="shared" si="167"/>
        <v>2009</v>
      </c>
      <c r="F2495" t="str">
        <f t="shared" si="168"/>
        <v>Lee</v>
      </c>
      <c r="G2495" t="str">
        <f t="shared" si="166"/>
        <v>avanddanesh</v>
      </c>
    </row>
    <row r="2496" spans="1:7" x14ac:dyDescent="0.25">
      <c r="A2496" t="str">
        <f>"Sandra Lee Semi-Homemade Desserts"</f>
        <v>Sandra Lee Semi-Homemade Desserts</v>
      </c>
      <c r="B2496" t="str">
        <f>"9780696226847"</f>
        <v>9780696226847</v>
      </c>
      <c r="C2496">
        <v>8</v>
      </c>
      <c r="D2496" t="str">
        <f t="shared" si="165"/>
        <v>USD</v>
      </c>
      <c r="E2496" t="str">
        <f t="shared" si="167"/>
        <v>2009</v>
      </c>
      <c r="F2496" t="str">
        <f t="shared" si="168"/>
        <v>Lee</v>
      </c>
      <c r="G2496" t="str">
        <f t="shared" si="166"/>
        <v>avanddanesh</v>
      </c>
    </row>
    <row r="2497" spans="1:7" x14ac:dyDescent="0.25">
      <c r="A2497" t="str">
        <f>"Sandra Lee Semi-Homemade Fast-Fix Family Favorites"</f>
        <v>Sandra Lee Semi-Homemade Fast-Fix Family Favorites</v>
      </c>
      <c r="B2497" t="str">
        <f>"9780696241826"</f>
        <v>9780696241826</v>
      </c>
      <c r="C2497">
        <v>8</v>
      </c>
      <c r="D2497" t="str">
        <f t="shared" si="165"/>
        <v>USD</v>
      </c>
      <c r="E2497" t="str">
        <f t="shared" si="167"/>
        <v>2009</v>
      </c>
      <c r="F2497" t="str">
        <f t="shared" si="168"/>
        <v>Lee</v>
      </c>
      <c r="G2497" t="str">
        <f t="shared" si="166"/>
        <v>avanddanesh</v>
      </c>
    </row>
    <row r="2498" spans="1:7" x14ac:dyDescent="0.25">
      <c r="A2498" t="str">
        <f>"Sandra Lee Semi-Homemade Grilling"</f>
        <v>Sandra Lee Semi-Homemade Grilling</v>
      </c>
      <c r="B2498" t="str">
        <f>"9780696232213"</f>
        <v>9780696232213</v>
      </c>
      <c r="C2498">
        <v>8</v>
      </c>
      <c r="D2498" t="str">
        <f t="shared" si="165"/>
        <v>USD</v>
      </c>
      <c r="E2498" t="str">
        <f t="shared" si="167"/>
        <v>2009</v>
      </c>
      <c r="F2498" t="str">
        <f t="shared" si="168"/>
        <v>Lee</v>
      </c>
      <c r="G2498" t="str">
        <f t="shared" si="166"/>
        <v>avanddanesh</v>
      </c>
    </row>
    <row r="2499" spans="1:7" x14ac:dyDescent="0.25">
      <c r="A2499" t="str">
        <f>"Sandra Lee Semi-Homemade Grilling 2"</f>
        <v>Sandra Lee Semi-Homemade Grilling 2</v>
      </c>
      <c r="B2499" t="str">
        <f>"9780696238284"</f>
        <v>9780696238284</v>
      </c>
      <c r="C2499">
        <v>8</v>
      </c>
      <c r="D2499" t="str">
        <f t="shared" si="165"/>
        <v>USD</v>
      </c>
      <c r="E2499" t="str">
        <f t="shared" si="167"/>
        <v>2009</v>
      </c>
      <c r="F2499" t="str">
        <f t="shared" si="168"/>
        <v>Lee</v>
      </c>
      <c r="G2499" t="str">
        <f t="shared" si="166"/>
        <v>avanddanesh</v>
      </c>
    </row>
    <row r="2500" spans="1:7" x14ac:dyDescent="0.25">
      <c r="A2500" t="str">
        <f>"Sanitation  Cleaning and Disinfection in the Food Industry"</f>
        <v>Sanitation  Cleaning and Disinfection in the Food Industry</v>
      </c>
      <c r="B2500" t="str">
        <f>"9783527326853"</f>
        <v>9783527326853</v>
      </c>
      <c r="C2500">
        <v>47.6</v>
      </c>
      <c r="D2500" t="str">
        <f t="shared" si="165"/>
        <v>USD</v>
      </c>
      <c r="E2500" t="str">
        <f>"2010"</f>
        <v>2010</v>
      </c>
      <c r="F2500" t="str">
        <f>"Stanga"</f>
        <v>Stanga</v>
      </c>
      <c r="G2500" t="str">
        <f>"safirketab"</f>
        <v>safirketab</v>
      </c>
    </row>
    <row r="2501" spans="1:7" x14ac:dyDescent="0.25">
      <c r="A2501" t="str">
        <f>"Sanitation: Cleaning and Disinfection in the Food Industry"</f>
        <v>Sanitation: Cleaning and Disinfection in the Food Industry</v>
      </c>
      <c r="B2501" t="str">
        <f>"9783527326853"</f>
        <v>9783527326853</v>
      </c>
      <c r="C2501">
        <v>47.6</v>
      </c>
      <c r="D2501" t="str">
        <f t="shared" si="165"/>
        <v>USD</v>
      </c>
      <c r="E2501" t="str">
        <f>"2010"</f>
        <v>2010</v>
      </c>
      <c r="F2501" t="str">
        <f>"Stanga"</f>
        <v>Stanga</v>
      </c>
      <c r="G2501" t="str">
        <f>"avanddanesh"</f>
        <v>avanddanesh</v>
      </c>
    </row>
    <row r="2502" spans="1:7" x14ac:dyDescent="0.25">
      <c r="A2502" t="str">
        <f>"Satiation, Satiety and the Control of Food Intake, Theory and Practice"</f>
        <v>Satiation, Satiety and the Control of Food Intake, Theory and Practice</v>
      </c>
      <c r="B2502" t="str">
        <f>"9780081014103"</f>
        <v>9780081014103</v>
      </c>
      <c r="C2502">
        <v>225</v>
      </c>
      <c r="D2502" t="str">
        <f t="shared" si="165"/>
        <v>USD</v>
      </c>
      <c r="E2502" t="str">
        <f>"2017"</f>
        <v>2017</v>
      </c>
      <c r="F2502" t="str">
        <f>"Blundell and Bellisl"</f>
        <v>Blundell and Bellisl</v>
      </c>
      <c r="G2502" t="str">
        <f>"dehkadehketab"</f>
        <v>dehkadehketab</v>
      </c>
    </row>
    <row r="2503" spans="1:7" x14ac:dyDescent="0.25">
      <c r="A2503" t="str">
        <f>"Savory Sweets: From Ingredients to Plated Desserts"</f>
        <v>Savory Sweets: From Ingredients to Plated Desserts</v>
      </c>
      <c r="B2503" t="str">
        <f>"9780471740582"</f>
        <v>9780471740582</v>
      </c>
      <c r="C2503">
        <v>55.2</v>
      </c>
      <c r="D2503" t="str">
        <f t="shared" si="165"/>
        <v>USD</v>
      </c>
      <c r="E2503" t="str">
        <f>"2007"</f>
        <v>2007</v>
      </c>
      <c r="F2503" t="str">
        <f>"Felder"</f>
        <v>Felder</v>
      </c>
      <c r="G2503" t="str">
        <f>"avanddanesh"</f>
        <v>avanddanesh</v>
      </c>
    </row>
    <row r="2504" spans="1:7" x14ac:dyDescent="0.25">
      <c r="A2504" t="str">
        <f>"Scent of the Vanishing Flora"</f>
        <v>Scent of the Vanishing Flora</v>
      </c>
      <c r="B2504" t="str">
        <f>"9783906390642"</f>
        <v>9783906390642</v>
      </c>
      <c r="C2504">
        <v>132.30000000000001</v>
      </c>
      <c r="D2504" t="str">
        <f t="shared" si="165"/>
        <v>USD</v>
      </c>
      <c r="E2504" t="str">
        <f>"2010"</f>
        <v>2010</v>
      </c>
      <c r="F2504" t="str">
        <f>"Kaiser"</f>
        <v>Kaiser</v>
      </c>
      <c r="G2504" t="str">
        <f>"safirketab"</f>
        <v>safirketab</v>
      </c>
    </row>
    <row r="2505" spans="1:7" x14ac:dyDescent="0.25">
      <c r="A2505" t="str">
        <f>"Science of Meat Quality"</f>
        <v>Science of Meat Quality</v>
      </c>
      <c r="B2505" t="str">
        <f>"9780813815435"</f>
        <v>9780813815435</v>
      </c>
      <c r="C2505">
        <v>138.4</v>
      </c>
      <c r="D2505" t="str">
        <f t="shared" si="165"/>
        <v>USD</v>
      </c>
      <c r="E2505" t="str">
        <f>"2013"</f>
        <v>2013</v>
      </c>
      <c r="F2505" t="str">
        <f>"Kerth"</f>
        <v>Kerth</v>
      </c>
      <c r="G2505" t="str">
        <f>"avanddanesh"</f>
        <v>avanddanesh</v>
      </c>
    </row>
    <row r="2506" spans="1:7" x14ac:dyDescent="0.25">
      <c r="A2506" t="str">
        <f>"Science, Society and the Supermarket"</f>
        <v>Science, Society and the Supermarket</v>
      </c>
      <c r="B2506" t="str">
        <f>"9780471770008"</f>
        <v>9780471770008</v>
      </c>
      <c r="C2506">
        <v>44.37</v>
      </c>
      <c r="D2506" t="str">
        <f t="shared" si="165"/>
        <v>USD</v>
      </c>
      <c r="E2506" t="str">
        <f>"2006"</f>
        <v>2006</v>
      </c>
      <c r="F2506" t="str">
        <f>"Castle-Chemistry"</f>
        <v>Castle-Chemistry</v>
      </c>
      <c r="G2506" t="str">
        <f>"safirketab"</f>
        <v>safirketab</v>
      </c>
    </row>
    <row r="2507" spans="1:7" x14ac:dyDescent="0.25">
      <c r="A2507" t="str">
        <f>"Seafood and Aquaculture Marketing Handbook,2e"</f>
        <v>Seafood and Aquaculture Marketing Handbook,2e</v>
      </c>
      <c r="B2507" t="str">
        <f>"9781118845509"</f>
        <v>9781118845509</v>
      </c>
      <c r="C2507">
        <v>97.8</v>
      </c>
      <c r="D2507" t="str">
        <f t="shared" si="165"/>
        <v>USD</v>
      </c>
      <c r="E2507" t="str">
        <f>"2016"</f>
        <v>2016</v>
      </c>
      <c r="F2507" t="str">
        <f>"Engle"</f>
        <v>Engle</v>
      </c>
      <c r="G2507" t="str">
        <f t="shared" ref="G2507:G2512" si="169">"avanddanesh"</f>
        <v>avanddanesh</v>
      </c>
    </row>
    <row r="2508" spans="1:7" x14ac:dyDescent="0.25">
      <c r="A2508" t="str">
        <f>"Seafood Handbook: The Comprehensive Guide to Sourcing, Buying and Preparation,2e"</f>
        <v>Seafood Handbook: The Comprehensive Guide to Sourcing, Buying and Preparation,2e</v>
      </c>
      <c r="B2508" t="str">
        <f>"9780470404164"</f>
        <v>9780470404164</v>
      </c>
      <c r="C2508">
        <v>88</v>
      </c>
      <c r="D2508" t="str">
        <f t="shared" si="165"/>
        <v>USD</v>
      </c>
      <c r="E2508" t="str">
        <f>"2009"</f>
        <v>2009</v>
      </c>
      <c r="F2508" t="str">
        <f>"Seafood Busines"</f>
        <v>Seafood Busines</v>
      </c>
      <c r="G2508" t="str">
        <f t="shared" si="169"/>
        <v>avanddanesh</v>
      </c>
    </row>
    <row r="2509" spans="1:7" x14ac:dyDescent="0.25">
      <c r="A2509" t="str">
        <f>"Seafood Meals"</f>
        <v>Seafood Meals</v>
      </c>
      <c r="B2509" t="str">
        <f>"9780471347019"</f>
        <v>9780471347019</v>
      </c>
      <c r="C2509">
        <v>6.4</v>
      </c>
      <c r="D2509" t="str">
        <f t="shared" si="165"/>
        <v>USD</v>
      </c>
      <c r="E2509" t="str">
        <f>"1998"</f>
        <v>1998</v>
      </c>
      <c r="F2509" t="str">
        <f>"Smith"</f>
        <v>Smith</v>
      </c>
      <c r="G2509" t="str">
        <f t="shared" si="169"/>
        <v>avanddanesh</v>
      </c>
    </row>
    <row r="2510" spans="1:7" x14ac:dyDescent="0.25">
      <c r="A2510" t="str">
        <f>"Seafood Processing: Technology, Quality and Safety"</f>
        <v>Seafood Processing: Technology, Quality and Safety</v>
      </c>
      <c r="B2510" t="str">
        <f>"9781118346211"</f>
        <v>9781118346211</v>
      </c>
      <c r="C2510">
        <v>127.5</v>
      </c>
      <c r="D2510" t="str">
        <f t="shared" si="165"/>
        <v>USD</v>
      </c>
      <c r="E2510" t="str">
        <f>"2014"</f>
        <v>2014</v>
      </c>
      <c r="F2510" t="str">
        <f>"Boziaris"</f>
        <v>Boziaris</v>
      </c>
      <c r="G2510" t="str">
        <f t="shared" si="169"/>
        <v>avanddanesh</v>
      </c>
    </row>
    <row r="2511" spans="1:7" x14ac:dyDescent="0.25">
      <c r="A2511" t="str">
        <f>"Semi-Homemade Comfort Food"</f>
        <v>Semi-Homemade Comfort Food</v>
      </c>
      <c r="B2511" t="str">
        <f>"9780470645949"</f>
        <v>9780470645949</v>
      </c>
      <c r="C2511">
        <v>8</v>
      </c>
      <c r="D2511" t="str">
        <f t="shared" si="165"/>
        <v>USD</v>
      </c>
      <c r="E2511" t="str">
        <f>"2010"</f>
        <v>2010</v>
      </c>
      <c r="F2511" t="str">
        <f>"Lee"</f>
        <v>Lee</v>
      </c>
      <c r="G2511" t="str">
        <f t="shared" si="169"/>
        <v>avanddanesh</v>
      </c>
    </row>
    <row r="2512" spans="1:7" x14ac:dyDescent="0.25">
      <c r="A2512" t="str">
        <f>"Semi-Homemade Slow Cooker 2"</f>
        <v>Semi-Homemade Slow Cooker 2</v>
      </c>
      <c r="B2512" t="str">
        <f>"9780696238154"</f>
        <v>9780696238154</v>
      </c>
      <c r="C2512">
        <v>8</v>
      </c>
      <c r="D2512" t="str">
        <f t="shared" si="165"/>
        <v>USD</v>
      </c>
      <c r="E2512" t="str">
        <f>"2009"</f>
        <v>2009</v>
      </c>
      <c r="F2512" t="str">
        <f>"Lee"</f>
        <v>Lee</v>
      </c>
      <c r="G2512" t="str">
        <f t="shared" si="169"/>
        <v>avanddanesh</v>
      </c>
    </row>
    <row r="2513" spans="1:7" x14ac:dyDescent="0.25">
      <c r="A2513" t="str">
        <f>"Sensory and aroma marketing"</f>
        <v>Sensory and aroma marketing</v>
      </c>
      <c r="B2513" t="str">
        <f>"9789086862986"</f>
        <v>9789086862986</v>
      </c>
      <c r="C2513">
        <v>40.5</v>
      </c>
      <c r="D2513" t="str">
        <f>"EUR"</f>
        <v>EUR</v>
      </c>
      <c r="E2513" t="str">
        <f>"2017"</f>
        <v>2017</v>
      </c>
      <c r="F2513" t="str">
        <f>"Esther Sendra-Nadal"</f>
        <v>Esther Sendra-Nadal</v>
      </c>
      <c r="G2513" t="str">
        <f>"AsarBartar"</f>
        <v>AsarBartar</v>
      </c>
    </row>
    <row r="2514" spans="1:7" x14ac:dyDescent="0.25">
      <c r="A2514" t="str">
        <f>"Sensory and Consumer Research in Food Product Design and Development"</f>
        <v>Sensory and Consumer Research in Food Product Design and Development</v>
      </c>
      <c r="B2514" t="str">
        <f>"9780813816326"</f>
        <v>9780813816326</v>
      </c>
      <c r="C2514">
        <v>131.99</v>
      </c>
      <c r="D2514" t="str">
        <f t="shared" ref="D2514:D2525" si="170">"USD"</f>
        <v>USD</v>
      </c>
      <c r="E2514" t="str">
        <f>"2006"</f>
        <v>2006</v>
      </c>
      <c r="F2514" t="str">
        <f>"Moskowitz"</f>
        <v>Moskowitz</v>
      </c>
      <c r="G2514" t="str">
        <f>"safirketab"</f>
        <v>safirketab</v>
      </c>
    </row>
    <row r="2515" spans="1:7" x14ac:dyDescent="0.25">
      <c r="A2515" t="str">
        <f>"Sensory and Consumer Research in Food Product Design and Development,2e"</f>
        <v>Sensory and Consumer Research in Food Product Design and Development,2e</v>
      </c>
      <c r="B2515" t="str">
        <f>"9780813813660"</f>
        <v>9780813813660</v>
      </c>
      <c r="C2515">
        <v>138.6</v>
      </c>
      <c r="D2515" t="str">
        <f t="shared" si="170"/>
        <v>USD</v>
      </c>
      <c r="E2515" t="str">
        <f>"2012"</f>
        <v>2012</v>
      </c>
      <c r="F2515" t="str">
        <f>"Moskowitz"</f>
        <v>Moskowitz</v>
      </c>
      <c r="G2515" t="str">
        <f>"avanddanesh"</f>
        <v>avanddanesh</v>
      </c>
    </row>
    <row r="2516" spans="1:7" x14ac:dyDescent="0.25">
      <c r="A2516" t="str">
        <f>"Sensory Discrimination Tests and Measurements: Sensometrics in Sensory Evaluation,2e"</f>
        <v>Sensory Discrimination Tests and Measurements: Sensometrics in Sensory Evaluation,2e</v>
      </c>
      <c r="B2516" t="str">
        <f>"9781118733530"</f>
        <v>9781118733530</v>
      </c>
      <c r="C2516">
        <v>152</v>
      </c>
      <c r="D2516" t="str">
        <f t="shared" si="170"/>
        <v>USD</v>
      </c>
      <c r="E2516" t="str">
        <f>"2015"</f>
        <v>2015</v>
      </c>
      <c r="F2516" t="str">
        <f>"Bi"</f>
        <v>Bi</v>
      </c>
      <c r="G2516" t="str">
        <f>"avanddanesh"</f>
        <v>avanddanesh</v>
      </c>
    </row>
    <row r="2517" spans="1:7" x14ac:dyDescent="0.25">
      <c r="A2517" t="str">
        <f>"Sensory Evaluation Practices, 4th Edition"</f>
        <v>Sensory Evaluation Practices, 4th Edition</v>
      </c>
      <c r="B2517" t="str">
        <f>"9780128101018"</f>
        <v>9780128101018</v>
      </c>
      <c r="C2517">
        <v>89.95</v>
      </c>
      <c r="D2517" t="str">
        <f t="shared" si="170"/>
        <v>USD</v>
      </c>
      <c r="E2517" t="str">
        <f>"2017"</f>
        <v>2017</v>
      </c>
      <c r="F2517" t="str">
        <f>"Stone et al"</f>
        <v>Stone et al</v>
      </c>
      <c r="G2517" t="str">
        <f>"dehkadehketab"</f>
        <v>dehkadehketab</v>
      </c>
    </row>
    <row r="2518" spans="1:7" x14ac:dyDescent="0.25">
      <c r="A2518" t="str">
        <f>"Sensory Evaluation:A Practical Handbook"</f>
        <v>Sensory Evaluation:A Practical Handbook</v>
      </c>
      <c r="B2518" t="str">
        <f>"9781405162104"</f>
        <v>9781405162104</v>
      </c>
      <c r="C2518">
        <v>59.2</v>
      </c>
      <c r="D2518" t="str">
        <f t="shared" si="170"/>
        <v>USD</v>
      </c>
      <c r="E2518" t="str">
        <f>"2009"</f>
        <v>2009</v>
      </c>
      <c r="F2518" t="str">
        <f>"Kemp"</f>
        <v>Kemp</v>
      </c>
      <c r="G2518" t="str">
        <f>"safirketab"</f>
        <v>safirketab</v>
      </c>
    </row>
    <row r="2519" spans="1:7" x14ac:dyDescent="0.25">
      <c r="A2519" t="str">
        <f>"Simpler the Better: Sensational One-Dish Meals"</f>
        <v>Simpler the Better: Sensational One-Dish Meals</v>
      </c>
      <c r="B2519" t="str">
        <f>"9780471482338"</f>
        <v>9780471482338</v>
      </c>
      <c r="C2519">
        <v>7.2</v>
      </c>
      <c r="D2519" t="str">
        <f t="shared" si="170"/>
        <v>USD</v>
      </c>
      <c r="E2519" t="str">
        <f>"2005"</f>
        <v>2005</v>
      </c>
      <c r="F2519" t="str">
        <f>"Revsin"</f>
        <v>Revsin</v>
      </c>
      <c r="G2519" t="str">
        <f>"avanddanesh"</f>
        <v>avanddanesh</v>
      </c>
    </row>
    <row r="2520" spans="1:7" x14ac:dyDescent="0.25">
      <c r="A2520" t="str">
        <f>"Simplified Diet Manual, 11e"</f>
        <v>Simplified Diet Manual, 11e</v>
      </c>
      <c r="B2520" t="str">
        <f>"9780813811963"</f>
        <v>9780813811963</v>
      </c>
      <c r="C2520">
        <v>24.8</v>
      </c>
      <c r="D2520" t="str">
        <f t="shared" si="170"/>
        <v>USD</v>
      </c>
      <c r="E2520" t="str">
        <f>"2011"</f>
        <v>2011</v>
      </c>
      <c r="F2520" t="str">
        <f>"Maher"</f>
        <v>Maher</v>
      </c>
      <c r="G2520" t="str">
        <f>"avanddanesh"</f>
        <v>avanddanesh</v>
      </c>
    </row>
    <row r="2521" spans="1:7" x14ac:dyDescent="0.25">
      <c r="A2521" t="str">
        <f>"Simply Done, Well Done"</f>
        <v>Simply Done, Well Done</v>
      </c>
      <c r="B2521" t="str">
        <f>"9780470615331"</f>
        <v>9780470615331</v>
      </c>
      <c r="C2521">
        <v>8</v>
      </c>
      <c r="D2521" t="str">
        <f t="shared" si="170"/>
        <v>USD</v>
      </c>
      <c r="E2521" t="str">
        <f>"2011"</f>
        <v>2011</v>
      </c>
      <c r="F2521" t="str">
        <f>"McCargo"</f>
        <v>McCargo</v>
      </c>
      <c r="G2521" t="str">
        <f>"avanddanesh"</f>
        <v>avanddanesh</v>
      </c>
    </row>
    <row r="2522" spans="1:7" x14ac:dyDescent="0.25">
      <c r="A2522" t="str">
        <f>"Smart Packaging Technologies for Fast Moving Consumer Goods"</f>
        <v>Smart Packaging Technologies for Fast Moving Consumer Goods</v>
      </c>
      <c r="B2522" t="str">
        <f>"9780470028025"</f>
        <v>9780470028025</v>
      </c>
      <c r="C2522">
        <v>114</v>
      </c>
      <c r="D2522" t="str">
        <f t="shared" si="170"/>
        <v>USD</v>
      </c>
      <c r="E2522" t="str">
        <f>"2008"</f>
        <v>2008</v>
      </c>
      <c r="F2522" t="str">
        <f>"Kerry"</f>
        <v>Kerry</v>
      </c>
      <c r="G2522" t="str">
        <f>"safirketab"</f>
        <v>safirketab</v>
      </c>
    </row>
    <row r="2523" spans="1:7" x14ac:dyDescent="0.25">
      <c r="A2523" t="str">
        <f>"So Easy"</f>
        <v>So Easy</v>
      </c>
      <c r="B2523" t="str">
        <f>"9780470423547"</f>
        <v>9780470423547</v>
      </c>
      <c r="C2523">
        <v>12</v>
      </c>
      <c r="D2523" t="str">
        <f t="shared" si="170"/>
        <v>USD</v>
      </c>
      <c r="E2523" t="str">
        <f>"2009"</f>
        <v>2009</v>
      </c>
      <c r="F2523" t="str">
        <f>"Krieger"</f>
        <v>Krieger</v>
      </c>
      <c r="G2523" t="str">
        <f>"avanddanesh"</f>
        <v>avanddanesh</v>
      </c>
    </row>
    <row r="2524" spans="1:7" x14ac:dyDescent="0.25">
      <c r="A2524" t="str">
        <f>"Soft Drink and Fruit Juice Problems Solved, 2nd Edition"</f>
        <v>Soft Drink and Fruit Juice Problems Solved, 2nd Edition</v>
      </c>
      <c r="B2524" t="str">
        <f>"9780081009161"</f>
        <v>9780081009161</v>
      </c>
      <c r="C2524">
        <v>207</v>
      </c>
      <c r="D2524" t="str">
        <f t="shared" si="170"/>
        <v>USD</v>
      </c>
      <c r="E2524" t="str">
        <f>"2017"</f>
        <v>2017</v>
      </c>
      <c r="F2524" t="str">
        <f>"Ashurst et al"</f>
        <v>Ashurst et al</v>
      </c>
      <c r="G2524" t="str">
        <f>"dehkadehketab"</f>
        <v>dehkadehketab</v>
      </c>
    </row>
    <row r="2525" spans="1:7" x14ac:dyDescent="0.25">
      <c r="A2525" t="str">
        <f>"Spray Drying Techniques for Food Ingredient Encapsulation"</f>
        <v>Spray Drying Techniques for Food Ingredient Encapsulation</v>
      </c>
      <c r="B2525" t="str">
        <f>"9781118864197"</f>
        <v>9781118864197</v>
      </c>
      <c r="C2525">
        <v>156</v>
      </c>
      <c r="D2525" t="str">
        <f t="shared" si="170"/>
        <v>USD</v>
      </c>
      <c r="E2525" t="str">
        <f>"2015"</f>
        <v>2015</v>
      </c>
      <c r="F2525" t="str">
        <f>"Anandharamakris"</f>
        <v>Anandharamakris</v>
      </c>
      <c r="G2525" t="str">
        <f>"avanddanesh"</f>
        <v>avanddanesh</v>
      </c>
    </row>
    <row r="2526" spans="1:7" x14ac:dyDescent="0.25">
      <c r="A2526" t="str">
        <f>"Springer Handbook of Odor"</f>
        <v>Springer Handbook of Odor</v>
      </c>
      <c r="B2526" t="str">
        <f>"9783319269306"</f>
        <v>9783319269306</v>
      </c>
      <c r="C2526">
        <v>251.1</v>
      </c>
      <c r="D2526" t="str">
        <f>"EUR"</f>
        <v>EUR</v>
      </c>
      <c r="E2526" t="str">
        <f>"2017"</f>
        <v>2017</v>
      </c>
      <c r="F2526" t="str">
        <f>"BÃ¼ttner"</f>
        <v>BÃ¼ttner</v>
      </c>
      <c r="G2526" t="str">
        <f>"negarestanabi"</f>
        <v>negarestanabi</v>
      </c>
    </row>
    <row r="2527" spans="1:7" x14ac:dyDescent="0.25">
      <c r="A2527" t="str">
        <f>"STANDARD METHODS FOR THE EXAMINATION OF DAIRY PRODUCTS, 17/e, HB"</f>
        <v>STANDARD METHODS FOR THE EXAMINATION OF DAIRY PRODUCTS, 17/e, HB</v>
      </c>
      <c r="B2527" t="str">
        <f>"9780875530024"</f>
        <v>9780875530024</v>
      </c>
      <c r="C2527">
        <v>141.75</v>
      </c>
      <c r="D2527" t="str">
        <f t="shared" ref="D2527:D2536" si="171">"USD"</f>
        <v>USD</v>
      </c>
      <c r="E2527" t="str">
        <f>"2004"</f>
        <v>2004</v>
      </c>
      <c r="F2527" t="str">
        <f>"Wehr"</f>
        <v>Wehr</v>
      </c>
      <c r="G2527" t="str">
        <f>"supply"</f>
        <v>supply</v>
      </c>
    </row>
    <row r="2528" spans="1:7" x14ac:dyDescent="0.25">
      <c r="A2528" t="str">
        <f>"Statistical Methods for Food Science:Introductory procedures for the food practitioner"</f>
        <v>Statistical Methods for Food Science:Introductory procedures for the food practitioner</v>
      </c>
      <c r="B2528" t="str">
        <f>"9781405167642"</f>
        <v>9781405167642</v>
      </c>
      <c r="C2528">
        <v>138.6</v>
      </c>
      <c r="D2528" t="str">
        <f t="shared" si="171"/>
        <v>USD</v>
      </c>
      <c r="E2528" t="str">
        <f>"2009"</f>
        <v>2009</v>
      </c>
      <c r="F2528" t="str">
        <f>"Bower"</f>
        <v>Bower</v>
      </c>
      <c r="G2528" t="str">
        <f>"safirketab"</f>
        <v>safirketab</v>
      </c>
    </row>
    <row r="2529" spans="1:7" x14ac:dyDescent="0.25">
      <c r="A2529" t="str">
        <f>"Statistics For Food Scientists, Making Sense Of Th"</f>
        <v>Statistics For Food Scientists, Making Sense Of Th</v>
      </c>
      <c r="B2529" t="str">
        <f>"9780124171794"</f>
        <v>9780124171794</v>
      </c>
      <c r="C2529">
        <v>90</v>
      </c>
      <c r="D2529" t="str">
        <f t="shared" si="171"/>
        <v>USD</v>
      </c>
      <c r="E2529" t="str">
        <f>"2015"</f>
        <v>2015</v>
      </c>
      <c r="F2529" t="str">
        <f>"N/A*"</f>
        <v>N/A*</v>
      </c>
      <c r="G2529" t="str">
        <f>"dehkadehketab"</f>
        <v>dehkadehketab</v>
      </c>
    </row>
    <row r="2530" spans="1:7" x14ac:dyDescent="0.25">
      <c r="A2530" t="str">
        <f>"Statistics for Sensory and Consumer Science"</f>
        <v>Statistics for Sensory and Consumer Science</v>
      </c>
      <c r="B2530" t="str">
        <f>"9780470518212"</f>
        <v>9780470518212</v>
      </c>
      <c r="C2530">
        <v>50</v>
      </c>
      <c r="D2530" t="str">
        <f t="shared" si="171"/>
        <v>USD</v>
      </c>
      <c r="E2530" t="str">
        <f>"2010"</f>
        <v>2010</v>
      </c>
      <c r="F2530" t="str">
        <f>"Naes"</f>
        <v>Naes</v>
      </c>
      <c r="G2530" t="str">
        <f t="shared" ref="G2530:G2535" si="172">"avanddanesh"</f>
        <v>avanddanesh</v>
      </c>
    </row>
    <row r="2531" spans="1:7" x14ac:dyDescent="0.25">
      <c r="A2531" t="str">
        <f>"Stevioside: Technology, Applications and Health"</f>
        <v>Stevioside: Technology, Applications and Health</v>
      </c>
      <c r="B2531" t="str">
        <f>"9781118350669"</f>
        <v>9781118350669</v>
      </c>
      <c r="C2531">
        <v>110.5</v>
      </c>
      <c r="D2531" t="str">
        <f t="shared" si="171"/>
        <v>USD</v>
      </c>
      <c r="E2531" t="str">
        <f>"2013"</f>
        <v>2013</v>
      </c>
      <c r="F2531" t="str">
        <f>"De"</f>
        <v>De</v>
      </c>
      <c r="G2531" t="str">
        <f t="shared" si="172"/>
        <v>avanddanesh</v>
      </c>
    </row>
    <row r="2532" spans="1:7" x14ac:dyDescent="0.25">
      <c r="A2532" t="str">
        <f>"Study Guide to Accompany Baking and Pastry: Mastering the Art and Craft,2e"</f>
        <v>Study Guide to Accompany Baking and Pastry: Mastering the Art and Craft,2e</v>
      </c>
      <c r="B2532" t="str">
        <f>"9780470258682"</f>
        <v>9780470258682</v>
      </c>
      <c r="C2532">
        <v>15.6</v>
      </c>
      <c r="D2532" t="str">
        <f t="shared" si="171"/>
        <v>USD</v>
      </c>
      <c r="E2532" t="str">
        <f>"2009"</f>
        <v>2009</v>
      </c>
      <c r="F2532" t="str">
        <f>"CIA"</f>
        <v>CIA</v>
      </c>
      <c r="G2532" t="str">
        <f t="shared" si="172"/>
        <v>avanddanesh</v>
      </c>
    </row>
    <row r="2533" spans="1:7" x14ac:dyDescent="0.25">
      <c r="A2533" t="str">
        <f>"Supermarket Shortcuts:Shop Smart! 365 Recipes to Save Time and Money"</f>
        <v>Supermarket Shortcuts:Shop Smart! 365 Recipes to Save Time and Money</v>
      </c>
      <c r="B2533" t="str">
        <f>"9780470500682"</f>
        <v>9780470500682</v>
      </c>
      <c r="C2533">
        <v>8</v>
      </c>
      <c r="D2533" t="str">
        <f t="shared" si="171"/>
        <v>USD</v>
      </c>
      <c r="E2533" t="str">
        <f>"2009"</f>
        <v>2009</v>
      </c>
      <c r="F2533" t="str">
        <f>"Better Homes"</f>
        <v>Better Homes</v>
      </c>
      <c r="G2533" t="str">
        <f t="shared" si="172"/>
        <v>avanddanesh</v>
      </c>
    </row>
    <row r="2534" spans="1:7" x14ac:dyDescent="0.25">
      <c r="A2534" t="str">
        <f>"Sustainability Challenges in the Agrofood Sector"</f>
        <v>Sustainability Challenges in the Agrofood Sector</v>
      </c>
      <c r="B2534" t="str">
        <f>"9781119072768"</f>
        <v>9781119072768</v>
      </c>
      <c r="C2534">
        <v>202.5</v>
      </c>
      <c r="D2534" t="str">
        <f t="shared" si="171"/>
        <v>USD</v>
      </c>
      <c r="E2534" t="str">
        <f>"2017"</f>
        <v>2017</v>
      </c>
      <c r="F2534" t="str">
        <f>"Bhat"</f>
        <v>Bhat</v>
      </c>
      <c r="G2534" t="str">
        <f t="shared" si="172"/>
        <v>avanddanesh</v>
      </c>
    </row>
    <row r="2535" spans="1:7" x14ac:dyDescent="0.25">
      <c r="A2535" t="str">
        <f>"Sustainability in the Food Industry"</f>
        <v>Sustainability in the Food Industry</v>
      </c>
      <c r="B2535" t="str">
        <f>"9780813808468"</f>
        <v>9780813808468</v>
      </c>
      <c r="C2535">
        <v>101.2</v>
      </c>
      <c r="D2535" t="str">
        <f t="shared" si="171"/>
        <v>USD</v>
      </c>
      <c r="E2535" t="str">
        <f>"2009"</f>
        <v>2009</v>
      </c>
      <c r="F2535" t="str">
        <f>"Baldwin"</f>
        <v>Baldwin</v>
      </c>
      <c r="G2535" t="str">
        <f t="shared" si="172"/>
        <v>avanddanesh</v>
      </c>
    </row>
    <row r="2536" spans="1:7" x14ac:dyDescent="0.25">
      <c r="A2536" t="str">
        <f>"Sustainability in the Food Industry"</f>
        <v>Sustainability in the Food Industry</v>
      </c>
      <c r="B2536" t="str">
        <f>"9780813808468"</f>
        <v>9780813808468</v>
      </c>
      <c r="C2536">
        <v>101.2</v>
      </c>
      <c r="D2536" t="str">
        <f t="shared" si="171"/>
        <v>USD</v>
      </c>
      <c r="E2536" t="str">
        <f>"2009"</f>
        <v>2009</v>
      </c>
      <c r="F2536" t="str">
        <f>"Baldwin"</f>
        <v>Baldwin</v>
      </c>
      <c r="G2536" t="str">
        <f>"safirketab"</f>
        <v>safirketab</v>
      </c>
    </row>
    <row r="2537" spans="1:7" x14ac:dyDescent="0.25">
      <c r="A2537" t="str">
        <f>"Sustainable Food and Beverage Industries: Assessments and Methodologies"</f>
        <v>Sustainable Food and Beverage Industries: Assessments and Methodologies</v>
      </c>
      <c r="B2537" t="str">
        <f>"9781771884105"</f>
        <v>9781771884105</v>
      </c>
      <c r="C2537">
        <v>80.75</v>
      </c>
      <c r="D2537" t="str">
        <f>"GBP"</f>
        <v>GBP</v>
      </c>
      <c r="E2537" t="str">
        <f>"2016"</f>
        <v>2016</v>
      </c>
      <c r="F2537" t="str">
        <f>"Gabriela Ionescu(Ed"</f>
        <v>Gabriela Ionescu(Ed</v>
      </c>
      <c r="G2537" t="str">
        <f>"AsarBartar"</f>
        <v>AsarBartar</v>
      </c>
    </row>
    <row r="2538" spans="1:7" x14ac:dyDescent="0.25">
      <c r="A2538" t="str">
        <f>"Sustainable Food Processing"</f>
        <v>Sustainable Food Processing</v>
      </c>
      <c r="B2538" t="str">
        <f>"9780470672235"</f>
        <v>9780470672235</v>
      </c>
      <c r="C2538">
        <v>136.5</v>
      </c>
      <c r="D2538" t="str">
        <f>"USD"</f>
        <v>USD</v>
      </c>
      <c r="E2538" t="str">
        <f>"2013"</f>
        <v>2013</v>
      </c>
      <c r="F2538" t="str">
        <f>"Tiwari"</f>
        <v>Tiwari</v>
      </c>
      <c r="G2538" t="str">
        <f>"avanddanesh"</f>
        <v>avanddanesh</v>
      </c>
    </row>
    <row r="2539" spans="1:7" x14ac:dyDescent="0.25">
      <c r="A2539" t="str">
        <f>"Sustainable Food Systems from Agriculture to Industry, Improving Production and Processing"</f>
        <v>Sustainable Food Systems from Agriculture to Industry, Improving Production and Processing</v>
      </c>
      <c r="B2539" t="str">
        <f>"9780128119303"</f>
        <v>9780128119303</v>
      </c>
      <c r="C2539">
        <v>157.5</v>
      </c>
      <c r="D2539" t="str">
        <f>"USD"</f>
        <v>USD</v>
      </c>
      <c r="E2539" t="str">
        <f>"2018"</f>
        <v>2018</v>
      </c>
      <c r="F2539" t="str">
        <f>"Galanakis"</f>
        <v>Galanakis</v>
      </c>
      <c r="G2539" t="str">
        <f>"dehkadehketab"</f>
        <v>dehkadehketab</v>
      </c>
    </row>
    <row r="2540" spans="1:7" x14ac:dyDescent="0.25">
      <c r="A2540" t="str">
        <f>"Sustainable Food Systems: Building a New Paradigm (Earthscan Food and Agriculture)"</f>
        <v>Sustainable Food Systems: Building a New Paradigm (Earthscan Food and Agriculture)</v>
      </c>
      <c r="B2540" t="str">
        <f>"9780415639545"</f>
        <v>9780415639545</v>
      </c>
      <c r="C2540">
        <v>76</v>
      </c>
      <c r="D2540" t="str">
        <f>"GBP"</f>
        <v>GBP</v>
      </c>
      <c r="E2540" t="str">
        <f>"2014"</f>
        <v>2014</v>
      </c>
      <c r="F2540" t="str">
        <f>"Adrian Morley(Edito"</f>
        <v>Adrian Morley(Edito</v>
      </c>
      <c r="G2540" t="str">
        <f>"AsarBartar"</f>
        <v>AsarBartar</v>
      </c>
    </row>
    <row r="2541" spans="1:7" x14ac:dyDescent="0.25">
      <c r="A2541" t="str">
        <f>"Sustainable Recovery and Reutilization of Cereal Processing By-Products"</f>
        <v>Sustainable Recovery and Reutilization of Cereal Processing By-Products</v>
      </c>
      <c r="B2541" t="str">
        <f>"9780081021453"</f>
        <v>9780081021453</v>
      </c>
      <c r="C2541">
        <v>225</v>
      </c>
      <c r="D2541" t="str">
        <f>"USD"</f>
        <v>USD</v>
      </c>
      <c r="E2541" t="str">
        <f>"2018"</f>
        <v>2018</v>
      </c>
      <c r="F2541" t="str">
        <f>"Galanakis"</f>
        <v>Galanakis</v>
      </c>
      <c r="G2541" t="str">
        <f>"dehkadehketab"</f>
        <v>dehkadehketab</v>
      </c>
    </row>
    <row r="2542" spans="1:7" x14ac:dyDescent="0.25">
      <c r="A2542" t="str">
        <f>"Sustainable Retail Refrigeration"</f>
        <v>Sustainable Retail Refrigeration</v>
      </c>
      <c r="B2542" t="str">
        <f>"9780470659403"</f>
        <v>9780470659403</v>
      </c>
      <c r="C2542">
        <v>140.30000000000001</v>
      </c>
      <c r="D2542" t="str">
        <f>"USD"</f>
        <v>USD</v>
      </c>
      <c r="E2542" t="str">
        <f>"2016"</f>
        <v>2016</v>
      </c>
      <c r="F2542" t="str">
        <f>"Evans"</f>
        <v>Evans</v>
      </c>
      <c r="G2542" t="str">
        <f>"avanddanesh"</f>
        <v>avanddanesh</v>
      </c>
    </row>
    <row r="2543" spans="1:7" x14ac:dyDescent="0.25">
      <c r="A2543" t="str">
        <f>"Sustainable Urban Agriculture and Food Planning (Routledge Studies in Food, Society and the Environment)"</f>
        <v>Sustainable Urban Agriculture and Food Planning (Routledge Studies in Food, Society and the Environment)</v>
      </c>
      <c r="B2543" t="str">
        <f>"9781138183087"</f>
        <v>9781138183087</v>
      </c>
      <c r="C2543">
        <v>72.25</v>
      </c>
      <c r="D2543" t="str">
        <f>"GBP"</f>
        <v>GBP</v>
      </c>
      <c r="E2543" t="str">
        <f>"2016"</f>
        <v>2016</v>
      </c>
      <c r="F2543" t="str">
        <f>"Rob Roggema(Editor)"</f>
        <v>Rob Roggema(Editor)</v>
      </c>
      <c r="G2543" t="str">
        <f>"AsarBartar"</f>
        <v>AsarBartar</v>
      </c>
    </row>
    <row r="2544" spans="1:7" x14ac:dyDescent="0.25">
      <c r="A2544" t="str">
        <f>"Sweeteners: Pharmacology. Biotechnology. and Applications"</f>
        <v>Sweeteners: Pharmacology. Biotechnology. and Applications</v>
      </c>
      <c r="B2544" t="str">
        <f>"9783319270265"</f>
        <v>9783319270265</v>
      </c>
      <c r="C2544">
        <v>233.1</v>
      </c>
      <c r="D2544" t="str">
        <f>"EUR"</f>
        <v>EUR</v>
      </c>
      <c r="E2544" t="str">
        <f>"2018"</f>
        <v>2018</v>
      </c>
      <c r="F2544" t="str">
        <f>"MÃ©rillon"</f>
        <v>MÃ©rillon</v>
      </c>
      <c r="G2544" t="str">
        <f>"negarestanabi"</f>
        <v>negarestanabi</v>
      </c>
    </row>
    <row r="2545" spans="1:7" x14ac:dyDescent="0.25">
      <c r="A2545" t="str">
        <f>"Tea Basics"</f>
        <v>Tea Basics</v>
      </c>
      <c r="B2545" t="str">
        <f>"9780471185185"</f>
        <v>9780471185185</v>
      </c>
      <c r="C2545">
        <v>8.4</v>
      </c>
      <c r="D2545" t="str">
        <f>"USD"</f>
        <v>USD</v>
      </c>
      <c r="E2545" t="str">
        <f>"1999"</f>
        <v>1999</v>
      </c>
      <c r="F2545" t="str">
        <f>"Rasmussen"</f>
        <v>Rasmussen</v>
      </c>
      <c r="G2545" t="str">
        <f>"avanddanesh"</f>
        <v>avanddanesh</v>
      </c>
    </row>
    <row r="2546" spans="1:7" x14ac:dyDescent="0.25">
      <c r="A2546" t="str">
        <f>"Teas, Cocoa and Coffee: Plant Secondary Metabolites and Health"</f>
        <v>Teas, Cocoa and Coffee: Plant Secondary Metabolites and Health</v>
      </c>
      <c r="B2546" t="str">
        <f>"9781444334418"</f>
        <v>9781444334418</v>
      </c>
      <c r="C2546">
        <v>72</v>
      </c>
      <c r="D2546" t="str">
        <f>"USD"</f>
        <v>USD</v>
      </c>
      <c r="E2546" t="str">
        <f>"2011"</f>
        <v>2011</v>
      </c>
      <c r="F2546" t="str">
        <f>"Crozier"</f>
        <v>Crozier</v>
      </c>
      <c r="G2546" t="str">
        <f>"avanddanesh"</f>
        <v>avanddanesh</v>
      </c>
    </row>
    <row r="2547" spans="1:7" x14ac:dyDescent="0.25">
      <c r="A2547" t="str">
        <f>"Technologies in Food Processing"</f>
        <v>Technologies in Food Processing</v>
      </c>
      <c r="B2547" t="str">
        <f>"9781771886512"</f>
        <v>9781771886512</v>
      </c>
      <c r="C2547">
        <v>111.6</v>
      </c>
      <c r="D2547" t="str">
        <f>"GBP"</f>
        <v>GBP</v>
      </c>
      <c r="E2547" t="str">
        <f>"2018"</f>
        <v>2018</v>
      </c>
      <c r="F2547" t="str">
        <f>"Sharma"</f>
        <v>Sharma</v>
      </c>
      <c r="G2547" t="str">
        <f>"sal"</f>
        <v>sal</v>
      </c>
    </row>
    <row r="2548" spans="1:7" x14ac:dyDescent="0.25">
      <c r="A2548" t="str">
        <f>"Technology of Bottled Water,3e"</f>
        <v>Technology of Bottled Water,3e</v>
      </c>
      <c r="B2548" t="str">
        <f>"9781405199322"</f>
        <v>9781405199322</v>
      </c>
      <c r="C2548">
        <v>76</v>
      </c>
      <c r="D2548" t="str">
        <f>"USD"</f>
        <v>USD</v>
      </c>
      <c r="E2548" t="str">
        <f>"2011"</f>
        <v>2011</v>
      </c>
      <c r="F2548" t="str">
        <f>"Dege"</f>
        <v>Dege</v>
      </c>
      <c r="G2548" t="str">
        <f>"avanddanesh"</f>
        <v>avanddanesh</v>
      </c>
    </row>
    <row r="2549" spans="1:7" x14ac:dyDescent="0.25">
      <c r="A2549" t="str">
        <f>"TECHNOLOGY OF DAIRY PLANT OPERATIONS, HB"</f>
        <v>TECHNOLOGY OF DAIRY PLANT OPERATIONS, HB</v>
      </c>
      <c r="B2549" t="str">
        <f>"9788177543315"</f>
        <v>9788177543315</v>
      </c>
      <c r="C2549">
        <v>24.78</v>
      </c>
      <c r="D2549" t="str">
        <f>"USD"</f>
        <v>USD</v>
      </c>
      <c r="E2549" t="str">
        <f>"2008"</f>
        <v>2008</v>
      </c>
      <c r="F2549" t="str">
        <f>"Sangwan"</f>
        <v>Sangwan</v>
      </c>
      <c r="G2549" t="str">
        <f>"supply"</f>
        <v>supply</v>
      </c>
    </row>
    <row r="2550" spans="1:7" x14ac:dyDescent="0.25">
      <c r="A2550" t="str">
        <f>"The Craft and Science of Coffee"</f>
        <v>The Craft and Science of Coffee</v>
      </c>
      <c r="B2550" t="str">
        <f>"9780128034736"</f>
        <v>9780128034736</v>
      </c>
      <c r="C2550">
        <v>112.5</v>
      </c>
      <c r="D2550" t="str">
        <f>"USD"</f>
        <v>USD</v>
      </c>
      <c r="E2550" t="str">
        <f>"2017"</f>
        <v>2017</v>
      </c>
      <c r="F2550" t="str">
        <f>"Folmer, BRITTA"</f>
        <v>Folmer, BRITTA</v>
      </c>
      <c r="G2550" t="str">
        <f>"dehkadehketab"</f>
        <v>dehkadehketab</v>
      </c>
    </row>
    <row r="2551" spans="1:7" x14ac:dyDescent="0.25">
      <c r="A2551" t="str">
        <f>"The Mediterranean Diet, An Evidence-Based Approach"</f>
        <v>The Mediterranean Diet, An Evidence-Based Approach</v>
      </c>
      <c r="B2551" t="str">
        <f>"9780128103043"</f>
        <v>9780128103043</v>
      </c>
      <c r="C2551">
        <v>157.5</v>
      </c>
      <c r="D2551" t="str">
        <f>"USD"</f>
        <v>USD</v>
      </c>
      <c r="E2551" t="str">
        <f>"2017"</f>
        <v>2017</v>
      </c>
      <c r="F2551" t="str">
        <f>"Preedy and Watson"</f>
        <v>Preedy and Watson</v>
      </c>
      <c r="G2551" t="str">
        <f>"dehkadehketab"</f>
        <v>dehkadehketab</v>
      </c>
    </row>
    <row r="2552" spans="1:7" x14ac:dyDescent="0.25">
      <c r="A2552" t="str">
        <f>"The Vitamins"</f>
        <v>The Vitamins</v>
      </c>
      <c r="B2552" t="str">
        <f>"9780128029282"</f>
        <v>9780128029282</v>
      </c>
      <c r="C2552">
        <v>112.5</v>
      </c>
      <c r="D2552" t="str">
        <f>"USD"</f>
        <v>USD</v>
      </c>
      <c r="E2552" t="str">
        <f>"2017"</f>
        <v>2017</v>
      </c>
      <c r="F2552" t="str">
        <f>"Combs, Jr., Gerald F"</f>
        <v>Combs, Jr., Gerald F</v>
      </c>
      <c r="G2552" t="str">
        <f>"dehkadehketab"</f>
        <v>dehkadehketab</v>
      </c>
    </row>
    <row r="2553" spans="1:7" x14ac:dyDescent="0.25">
      <c r="A2553" t="str">
        <f>"The Water, Food, Energy and Climate Nexus: Challenges and an agenda for action (Earthscan Studies in Natural Resource Management)"</f>
        <v>The Water, Food, Energy and Climate Nexus: Challenges and an agenda for action (Earthscan Studies in Natural Resource Management)</v>
      </c>
      <c r="B2553" t="str">
        <f>"9781138190955"</f>
        <v>9781138190955</v>
      </c>
      <c r="C2553">
        <v>27.2</v>
      </c>
      <c r="D2553" t="str">
        <f>"GBP"</f>
        <v>GBP</v>
      </c>
      <c r="E2553" t="str">
        <f>"2016"</f>
        <v>2016</v>
      </c>
      <c r="F2553" t="str">
        <f>"Felix Dodds(Editor)"</f>
        <v>Felix Dodds(Editor)</v>
      </c>
      <c r="G2553" t="str">
        <f>"AsarBartar"</f>
        <v>AsarBartar</v>
      </c>
    </row>
    <row r="2554" spans="1:7" x14ac:dyDescent="0.25">
      <c r="A2554" t="str">
        <f>"Therapeutic, Probiotic, and Unconventional Foods"</f>
        <v>Therapeutic, Probiotic, and Unconventional Foods</v>
      </c>
      <c r="B2554" t="str">
        <f>"9780128146149"</f>
        <v>9780128146149</v>
      </c>
      <c r="C2554">
        <v>225</v>
      </c>
      <c r="D2554" t="str">
        <f t="shared" ref="D2554:D2570" si="173">"USD"</f>
        <v>USD</v>
      </c>
      <c r="E2554" t="str">
        <f>"2018"</f>
        <v>2018</v>
      </c>
      <c r="F2554" t="str">
        <f>"Grumezescu and Holba"</f>
        <v>Grumezescu and Holba</v>
      </c>
      <c r="G2554" t="str">
        <f>"dehkadehketab"</f>
        <v>dehkadehketab</v>
      </c>
    </row>
    <row r="2555" spans="1:7" x14ac:dyDescent="0.25">
      <c r="A2555" t="str">
        <f>"Thermal Processing of Food: Potential Health Benefits and Risks"</f>
        <v>Thermal Processing of Food: Potential Health Benefits and Risks</v>
      </c>
      <c r="B2555" t="str">
        <f>"9783527319091"</f>
        <v>9783527319091</v>
      </c>
      <c r="C2555">
        <v>90</v>
      </c>
      <c r="D2555" t="str">
        <f t="shared" si="173"/>
        <v>USD</v>
      </c>
      <c r="E2555" t="str">
        <f>"2007"</f>
        <v>2007</v>
      </c>
      <c r="F2555" t="str">
        <f>"SKLM"</f>
        <v>SKLM</v>
      </c>
      <c r="G2555" t="str">
        <f>"safirketab"</f>
        <v>safirketab</v>
      </c>
    </row>
    <row r="2556" spans="1:7" x14ac:dyDescent="0.25">
      <c r="A2556" t="str">
        <f>"Thermal Processing of Foods: Control and Automation"</f>
        <v>Thermal Processing of Foods: Control and Automation</v>
      </c>
      <c r="B2556" t="str">
        <f>"9780813810072"</f>
        <v>9780813810072</v>
      </c>
      <c r="C2556">
        <v>88</v>
      </c>
      <c r="D2556" t="str">
        <f t="shared" si="173"/>
        <v>USD</v>
      </c>
      <c r="E2556" t="str">
        <f>"2011"</f>
        <v>2011</v>
      </c>
      <c r="F2556" t="str">
        <f>"Sandeep"</f>
        <v>Sandeep</v>
      </c>
      <c r="G2556" t="str">
        <f>"avanddanesh"</f>
        <v>avanddanesh</v>
      </c>
    </row>
    <row r="2557" spans="1:7" x14ac:dyDescent="0.25">
      <c r="A2557" t="str">
        <f>"Thermal Processing of Ready-to-Eat Meat Products"</f>
        <v>Thermal Processing of Ready-to-Eat Meat Products</v>
      </c>
      <c r="B2557" t="str">
        <f>"9780813801483"</f>
        <v>9780813801483</v>
      </c>
      <c r="C2557">
        <v>96.4</v>
      </c>
      <c r="D2557" t="str">
        <f t="shared" si="173"/>
        <v>USD</v>
      </c>
      <c r="E2557" t="str">
        <f>"2009"</f>
        <v>2009</v>
      </c>
      <c r="F2557" t="str">
        <f>"Knipe"</f>
        <v>Knipe</v>
      </c>
      <c r="G2557" t="str">
        <f>"avanddanesh"</f>
        <v>avanddanesh</v>
      </c>
    </row>
    <row r="2558" spans="1:7" x14ac:dyDescent="0.25">
      <c r="A2558" t="str">
        <f>"Thermal Processing of Ready-to-Eat Meat Products"</f>
        <v>Thermal Processing of Ready-to-Eat Meat Products</v>
      </c>
      <c r="B2558" t="str">
        <f>"9780813801483"</f>
        <v>9780813801483</v>
      </c>
      <c r="C2558">
        <v>96.4</v>
      </c>
      <c r="D2558" t="str">
        <f t="shared" si="173"/>
        <v>USD</v>
      </c>
      <c r="E2558" t="str">
        <f>"2010"</f>
        <v>2010</v>
      </c>
      <c r="F2558" t="str">
        <f>"Knipe"</f>
        <v>Knipe</v>
      </c>
      <c r="G2558" t="str">
        <f>"safirketab"</f>
        <v>safirketab</v>
      </c>
    </row>
    <row r="2559" spans="1:7" x14ac:dyDescent="0.25">
      <c r="A2559" t="str">
        <f>"Time-Dependent Measures of Perception in Sensory Evaluation"</f>
        <v>Time-Dependent Measures of Perception in Sensory Evaluation</v>
      </c>
      <c r="B2559" t="str">
        <f>"9780470671382"</f>
        <v>9780470671382</v>
      </c>
      <c r="C2559">
        <v>157.5</v>
      </c>
      <c r="D2559" t="str">
        <f t="shared" si="173"/>
        <v>USD</v>
      </c>
      <c r="E2559" t="str">
        <f>"2017"</f>
        <v>2017</v>
      </c>
      <c r="F2559" t="str">
        <f>"Kemp"</f>
        <v>Kemp</v>
      </c>
      <c r="G2559" t="str">
        <f>"avanddanesh"</f>
        <v>avanddanesh</v>
      </c>
    </row>
    <row r="2560" spans="1:7" x14ac:dyDescent="0.25">
      <c r="A2560" t="str">
        <f>"Trade, Food, Diet and Health:Perspectives and Policy Options"</f>
        <v>Trade, Food, Diet and Health:Perspectives and Policy Options</v>
      </c>
      <c r="B2560" t="str">
        <f>"9781405199865"</f>
        <v>9781405199865</v>
      </c>
      <c r="C2560">
        <v>86.25</v>
      </c>
      <c r="D2560" t="str">
        <f t="shared" si="173"/>
        <v>USD</v>
      </c>
      <c r="E2560" t="str">
        <f>"2010"</f>
        <v>2010</v>
      </c>
      <c r="F2560" t="str">
        <f>"Hawkes"</f>
        <v>Hawkes</v>
      </c>
      <c r="G2560" t="str">
        <f>"safirketab"</f>
        <v>safirketab</v>
      </c>
    </row>
    <row r="2561" spans="1:7" x14ac:dyDescent="0.25">
      <c r="A2561" t="str">
        <f>"Trans Fatty Acids"</f>
        <v>Trans Fatty Acids</v>
      </c>
      <c r="B2561" t="str">
        <f>"9781405156912"</f>
        <v>9781405156912</v>
      </c>
      <c r="C2561">
        <v>126</v>
      </c>
      <c r="D2561" t="str">
        <f t="shared" si="173"/>
        <v>USD</v>
      </c>
      <c r="E2561" t="str">
        <f>"2008"</f>
        <v>2008</v>
      </c>
      <c r="F2561" t="str">
        <f>"Dijkstra"</f>
        <v>Dijkstra</v>
      </c>
      <c r="G2561" t="str">
        <f>"safirketab"</f>
        <v>safirketab</v>
      </c>
    </row>
    <row r="2562" spans="1:7" x14ac:dyDescent="0.25">
      <c r="A2562" t="str">
        <f>"Tropical and Subtropical Fruits: Postharvest Physiology, Processing and Packaging"</f>
        <v>Tropical and Subtropical Fruits: Postharvest Physiology, Processing and Packaging</v>
      </c>
      <c r="B2562" t="str">
        <f>"9780813811420"</f>
        <v>9780813811420</v>
      </c>
      <c r="C2562">
        <v>151.80000000000001</v>
      </c>
      <c r="D2562" t="str">
        <f t="shared" si="173"/>
        <v>USD</v>
      </c>
      <c r="E2562" t="str">
        <f>"2012"</f>
        <v>2012</v>
      </c>
      <c r="F2562" t="str">
        <f>"Siddiq"</f>
        <v>Siddiq</v>
      </c>
      <c r="G2562" t="str">
        <f>"avanddanesh"</f>
        <v>avanddanesh</v>
      </c>
    </row>
    <row r="2563" spans="1:7" x14ac:dyDescent="0.25">
      <c r="A2563" t="str">
        <f>"Tropical Roots and Tubers: Technological Interventions"</f>
        <v>Tropical Roots and Tubers: Technological Interventions</v>
      </c>
      <c r="B2563" t="str">
        <f>"9781118992692"</f>
        <v>9781118992692</v>
      </c>
      <c r="C2563">
        <v>161.5</v>
      </c>
      <c r="D2563" t="str">
        <f t="shared" si="173"/>
        <v>USD</v>
      </c>
      <c r="E2563" t="str">
        <f>"2016"</f>
        <v>2016</v>
      </c>
      <c r="F2563" t="str">
        <f>"Sharma"</f>
        <v>Sharma</v>
      </c>
      <c r="G2563" t="str">
        <f>"avanddanesh"</f>
        <v>avanddanesh</v>
      </c>
    </row>
    <row r="2564" spans="1:7" x14ac:dyDescent="0.25">
      <c r="A2564" t="str">
        <f>"Ullmann's Food and Feed, 3V Set"</f>
        <v>Ullmann's Food and Feed, 3V Set</v>
      </c>
      <c r="B2564" t="str">
        <f>"9783527339907"</f>
        <v>9783527339907</v>
      </c>
      <c r="C2564">
        <v>607.5</v>
      </c>
      <c r="D2564" t="str">
        <f t="shared" si="173"/>
        <v>USD</v>
      </c>
      <c r="E2564" t="str">
        <f>"2017"</f>
        <v>2017</v>
      </c>
      <c r="F2564" t="str">
        <f>"Wiley-VCH"</f>
        <v>Wiley-VCH</v>
      </c>
      <c r="G2564" t="str">
        <f>"avanddanesh"</f>
        <v>avanddanesh</v>
      </c>
    </row>
    <row r="2565" spans="1:7" x14ac:dyDescent="0.25">
      <c r="A2565" t="str">
        <f>"Ultrasound: Food Applications"</f>
        <v>Ultrasound: Food Applications</v>
      </c>
      <c r="B2565" t="str">
        <f>"9781118964187"</f>
        <v>9781118964187</v>
      </c>
      <c r="C2565">
        <v>171</v>
      </c>
      <c r="D2565" t="str">
        <f t="shared" si="173"/>
        <v>USD</v>
      </c>
      <c r="E2565" t="str">
        <f>"2017"</f>
        <v>2017</v>
      </c>
      <c r="F2565" t="str">
        <f>"Villamiel"</f>
        <v>Villamiel</v>
      </c>
      <c r="G2565" t="str">
        <f>"avanddanesh"</f>
        <v>avanddanesh</v>
      </c>
    </row>
    <row r="2566" spans="1:7" x14ac:dyDescent="0.25">
      <c r="A2566" t="str">
        <f>"Understanding Food Systems, Agriculture, Food Science, and Nutrition in the United States"</f>
        <v>Understanding Food Systems, Agriculture, Food Science, and Nutrition in the United States</v>
      </c>
      <c r="B2566" t="str">
        <f>"9780128044322"</f>
        <v>9780128044322</v>
      </c>
      <c r="C2566">
        <v>67.45</v>
      </c>
      <c r="D2566" t="str">
        <f t="shared" si="173"/>
        <v>USD</v>
      </c>
      <c r="E2566" t="str">
        <f>"2017"</f>
        <v>2017</v>
      </c>
      <c r="F2566" t="str">
        <f>"MacDonald and Reitme"</f>
        <v>MacDonald and Reitme</v>
      </c>
      <c r="G2566" t="str">
        <f>"dehkadehketab"</f>
        <v>dehkadehketab</v>
      </c>
    </row>
    <row r="2567" spans="1:7" x14ac:dyDescent="0.25">
      <c r="A2567" t="str">
        <f>"Universal Meat Hygeine In Public Health Care  "</f>
        <v xml:space="preserve">Universal Meat Hygeine In Public Health Care  </v>
      </c>
      <c r="B2567" t="str">
        <f>"9788123925615"</f>
        <v>9788123925615</v>
      </c>
      <c r="C2567">
        <v>13.5</v>
      </c>
      <c r="D2567" t="str">
        <f t="shared" si="173"/>
        <v>USD</v>
      </c>
      <c r="E2567" t="str">
        <f>"2015"</f>
        <v>2015</v>
      </c>
      <c r="F2567" t="str">
        <f>"Vijendra"</f>
        <v>Vijendra</v>
      </c>
      <c r="G2567" t="str">
        <f>"jahanadib"</f>
        <v>jahanadib</v>
      </c>
    </row>
    <row r="2568" spans="1:7" x14ac:dyDescent="0.25">
      <c r="A2568" t="str">
        <f>"Universal Meat Hygeine In Public Health Care  "</f>
        <v xml:space="preserve">Universal Meat Hygeine In Public Health Care  </v>
      </c>
      <c r="B2568" t="str">
        <f>"9788123925615"</f>
        <v>9788123925615</v>
      </c>
      <c r="C2568">
        <v>13.5</v>
      </c>
      <c r="D2568" t="str">
        <f t="shared" si="173"/>
        <v>USD</v>
      </c>
      <c r="E2568" t="str">
        <f>"2015"</f>
        <v>2015</v>
      </c>
      <c r="F2568" t="str">
        <f>"Vijendra"</f>
        <v>Vijendra</v>
      </c>
      <c r="G2568" t="str">
        <f>"safirketab"</f>
        <v>safirketab</v>
      </c>
    </row>
    <row r="2569" spans="1:7" x14ac:dyDescent="0.25">
      <c r="A2569" t="str">
        <f>"USP Dietary Supplements Compendium 2015, 2 Volumes set U.S.Pharmacopie"</f>
        <v>USP Dietary Supplements Compendium 2015, 2 Volumes set U.S.Pharmacopie</v>
      </c>
      <c r="B2569" t="str">
        <f>"9781936424412"</f>
        <v>9781936424412</v>
      </c>
      <c r="C2569">
        <v>375</v>
      </c>
      <c r="D2569" t="str">
        <f t="shared" si="173"/>
        <v>USD</v>
      </c>
      <c r="E2569" t="str">
        <f>"2015"</f>
        <v>2015</v>
      </c>
      <c r="F2569" t="str">
        <f>"U.S.PHARMACOPIEA"</f>
        <v>U.S.PHARMACOPIEA</v>
      </c>
      <c r="G2569" t="str">
        <f>"arzinbooks"</f>
        <v>arzinbooks</v>
      </c>
    </row>
    <row r="2570" spans="1:7" x14ac:dyDescent="0.25">
      <c r="A2570" t="str">
        <f>"Validating Preventive Food Safety and Quality Controls, An Organizational Approach to System Design and Implementation"</f>
        <v>Validating Preventive Food Safety and Quality Controls, An Organizational Approach to System Design and Implementation</v>
      </c>
      <c r="B2570" t="str">
        <f>"9780128109908"</f>
        <v>9780128109908</v>
      </c>
      <c r="C2570">
        <v>135</v>
      </c>
      <c r="D2570" t="str">
        <f t="shared" si="173"/>
        <v>USD</v>
      </c>
      <c r="E2570" t="str">
        <f>"2017"</f>
        <v>2017</v>
      </c>
      <c r="F2570" t="str">
        <f>"Ryan"</f>
        <v>Ryan</v>
      </c>
      <c r="G2570" t="str">
        <f>"dehkadehketab"</f>
        <v>dehkadehketab</v>
      </c>
    </row>
    <row r="2571" spans="1:7" x14ac:dyDescent="0.25">
      <c r="A2571" t="str">
        <f>"Value Addition of Horticultural Crops: Recent Trends and Future Directions"</f>
        <v>Value Addition of Horticultural Crops: Recent Trends and Future Directions</v>
      </c>
      <c r="B2571" t="str">
        <f>"9788132222613"</f>
        <v>9788132222613</v>
      </c>
      <c r="C2571">
        <v>116.99</v>
      </c>
      <c r="D2571" t="str">
        <f>"EUR"</f>
        <v>EUR</v>
      </c>
      <c r="E2571" t="str">
        <f>"2015"</f>
        <v>2015</v>
      </c>
      <c r="F2571" t="str">
        <f>"Sharangi"</f>
        <v>Sharangi</v>
      </c>
      <c r="G2571" t="str">
        <f>"negarestanabi"</f>
        <v>negarestanabi</v>
      </c>
    </row>
    <row r="2572" spans="1:7" x14ac:dyDescent="0.25">
      <c r="A2572" t="str">
        <f>"Vegetable Processing"</f>
        <v>Vegetable Processing</v>
      </c>
      <c r="B2572" t="str">
        <f>"9780471198598"</f>
        <v>9780471198598</v>
      </c>
      <c r="C2572">
        <v>141.6</v>
      </c>
      <c r="D2572" t="str">
        <f t="shared" ref="D2572:D2577" si="174">"USD"</f>
        <v>USD</v>
      </c>
      <c r="E2572" t="str">
        <f>"2006"</f>
        <v>2006</v>
      </c>
      <c r="F2572" t="str">
        <f>"Arthey"</f>
        <v>Arthey</v>
      </c>
      <c r="G2572" t="str">
        <f>"safirketab"</f>
        <v>safirketab</v>
      </c>
    </row>
    <row r="2573" spans="1:7" x14ac:dyDescent="0.25">
      <c r="A2573" t="str">
        <f>"Vegetable Processing"</f>
        <v>Vegetable Processing</v>
      </c>
      <c r="B2573" t="str">
        <f>"9780471198598"</f>
        <v>9780471198598</v>
      </c>
      <c r="C2573">
        <v>141.6</v>
      </c>
      <c r="D2573" t="str">
        <f t="shared" si="174"/>
        <v>USD</v>
      </c>
      <c r="E2573" t="str">
        <f>"2006"</f>
        <v>2006</v>
      </c>
      <c r="F2573" t="str">
        <f>"Arthey"</f>
        <v>Arthey</v>
      </c>
      <c r="G2573" t="str">
        <f>"avanddanesh"</f>
        <v>avanddanesh</v>
      </c>
    </row>
    <row r="2574" spans="1:7" x14ac:dyDescent="0.25">
      <c r="A2574" t="str">
        <f>"Vegetarian and Plant Based Diets in Health and Disease Prevention"</f>
        <v>Vegetarian and Plant Based Diets in Health and Disease Prevention</v>
      </c>
      <c r="B2574" t="str">
        <f>"9780128039564"</f>
        <v>9780128039564</v>
      </c>
      <c r="C2574">
        <v>171</v>
      </c>
      <c r="D2574" t="str">
        <f t="shared" si="174"/>
        <v>USD</v>
      </c>
      <c r="E2574" t="str">
        <f>"2017"</f>
        <v>2017</v>
      </c>
      <c r="F2574" t="str">
        <f>"Mariotti"</f>
        <v>Mariotti</v>
      </c>
      <c r="G2574" t="str">
        <f>"dehkadehketab"</f>
        <v>dehkadehketab</v>
      </c>
    </row>
    <row r="2575" spans="1:7" x14ac:dyDescent="0.25">
      <c r="A2575" t="str">
        <f>"Viruses in Food and Water, Risks, Surveillance and Control"</f>
        <v>Viruses in Food and Water, Risks, Surveillance and Control</v>
      </c>
      <c r="B2575" t="str">
        <f>"9780081015568"</f>
        <v>9780081015568</v>
      </c>
      <c r="C2575">
        <v>252</v>
      </c>
      <c r="D2575" t="str">
        <f t="shared" si="174"/>
        <v>USD</v>
      </c>
      <c r="E2575" t="str">
        <f>"2017"</f>
        <v>2017</v>
      </c>
      <c r="F2575" t="str">
        <f>"Cook"</f>
        <v>Cook</v>
      </c>
      <c r="G2575" t="str">
        <f>"dehkadehketab"</f>
        <v>dehkadehketab</v>
      </c>
    </row>
    <row r="2576" spans="1:7" x14ac:dyDescent="0.25">
      <c r="A2576" t="str">
        <f>"Water Properties in Food, Health, Pharmaceutical and Biological Systems: ISOPOW 10"</f>
        <v>Water Properties in Food, Health, Pharmaceutical and Biological Systems: ISOPOW 10</v>
      </c>
      <c r="B2576" t="str">
        <f>"9780813812731"</f>
        <v>9780813812731</v>
      </c>
      <c r="C2576">
        <v>122.8</v>
      </c>
      <c r="D2576" t="str">
        <f t="shared" si="174"/>
        <v>USD</v>
      </c>
      <c r="E2576" t="str">
        <f>"2010"</f>
        <v>2010</v>
      </c>
      <c r="F2576" t="str">
        <f>"Reid"</f>
        <v>Reid</v>
      </c>
      <c r="G2576" t="str">
        <f>"safirketab"</f>
        <v>safirketab</v>
      </c>
    </row>
    <row r="2577" spans="1:7" x14ac:dyDescent="0.25">
      <c r="A2577" t="str">
        <f>"Water Properties in Food, Health, Pharmaceutical and Biological Systems: ISOPOW 10"</f>
        <v>Water Properties in Food, Health, Pharmaceutical and Biological Systems: ISOPOW 10</v>
      </c>
      <c r="B2577" t="str">
        <f>"9780813812731"</f>
        <v>9780813812731</v>
      </c>
      <c r="C2577">
        <v>122.8</v>
      </c>
      <c r="D2577" t="str">
        <f t="shared" si="174"/>
        <v>USD</v>
      </c>
      <c r="E2577" t="str">
        <f>"2010"</f>
        <v>2010</v>
      </c>
      <c r="F2577" t="str">
        <f>"Reid"</f>
        <v>Reid</v>
      </c>
      <c r="G2577" t="str">
        <f>"avanddanesh"</f>
        <v>avanddanesh</v>
      </c>
    </row>
    <row r="2578" spans="1:7" x14ac:dyDescent="0.25">
      <c r="A2578" t="str">
        <f>"Water Stress in Biological. Chemical. Pharmaceutical and Food Systems"</f>
        <v>Water Stress in Biological. Chemical. Pharmaceutical and Food Systems</v>
      </c>
      <c r="B2578" t="str">
        <f>"9781493925773"</f>
        <v>9781493925773</v>
      </c>
      <c r="C2578">
        <v>143.99</v>
      </c>
      <c r="D2578" t="str">
        <f>"EUR"</f>
        <v>EUR</v>
      </c>
      <c r="E2578" t="str">
        <f>"2015"</f>
        <v>2015</v>
      </c>
      <c r="F2578" t="str">
        <f>"GutiÃ©rrez-LÃ³pez"</f>
        <v>GutiÃ©rrez-LÃ³pez</v>
      </c>
      <c r="G2578" t="str">
        <f>"negarestanabi"</f>
        <v>negarestanabi</v>
      </c>
    </row>
    <row r="2579" spans="1:7" x14ac:dyDescent="0.25">
      <c r="A2579" t="str">
        <f>"Wedding Cake Art and Design: A Professional Approach"</f>
        <v>Wedding Cake Art and Design: A Professional Approach</v>
      </c>
      <c r="B2579" t="str">
        <f>"9780470381335"</f>
        <v>9780470381335</v>
      </c>
      <c r="C2579">
        <v>78</v>
      </c>
      <c r="D2579" t="str">
        <f t="shared" ref="D2579:D2591" si="175">"USD"</f>
        <v>USD</v>
      </c>
      <c r="E2579" t="str">
        <f>"2010"</f>
        <v>2010</v>
      </c>
      <c r="F2579" t="str">
        <f>"Garrett"</f>
        <v>Garrett</v>
      </c>
      <c r="G2579" t="str">
        <f>"avanddanesh"</f>
        <v>avanddanesh</v>
      </c>
    </row>
    <row r="2580" spans="1:7" x14ac:dyDescent="0.25">
      <c r="A2580" t="str">
        <f>"Wedding Cake Book"</f>
        <v>Wedding Cake Book</v>
      </c>
      <c r="B2580" t="str">
        <f>"9780028612348"</f>
        <v>9780028612348</v>
      </c>
      <c r="C2580">
        <v>16</v>
      </c>
      <c r="D2580" t="str">
        <f t="shared" si="175"/>
        <v>USD</v>
      </c>
      <c r="E2580" t="str">
        <f>"1997"</f>
        <v>1997</v>
      </c>
      <c r="F2580" t="str">
        <f>"Wilson"</f>
        <v>Wilson</v>
      </c>
      <c r="G2580" t="str">
        <f>"avanddanesh"</f>
        <v>avanddanesh</v>
      </c>
    </row>
    <row r="2581" spans="1:7" x14ac:dyDescent="0.25">
      <c r="A2581" t="str">
        <f>"Weight Control and Slimming Ingredients in Food Technology"</f>
        <v>Weight Control and Slimming Ingredients in Food Technology</v>
      </c>
      <c r="B2581" t="str">
        <f>"9780813813233"</f>
        <v>9780813813233</v>
      </c>
      <c r="C2581">
        <v>101.2</v>
      </c>
      <c r="D2581" t="str">
        <f t="shared" si="175"/>
        <v>USD</v>
      </c>
      <c r="E2581" t="str">
        <f>"2010"</f>
        <v>2010</v>
      </c>
      <c r="F2581" t="str">
        <f>"Cho"</f>
        <v>Cho</v>
      </c>
      <c r="G2581" t="str">
        <f>"avanddanesh"</f>
        <v>avanddanesh</v>
      </c>
    </row>
    <row r="2582" spans="1:7" x14ac:dyDescent="0.25">
      <c r="A2582" t="str">
        <f>"Weight Control and Slimming Ingredients in Food Technology"</f>
        <v>Weight Control and Slimming Ingredients in Food Technology</v>
      </c>
      <c r="B2582" t="str">
        <f>"9780813813233"</f>
        <v>9780813813233</v>
      </c>
      <c r="C2582">
        <v>101.2</v>
      </c>
      <c r="D2582" t="str">
        <f t="shared" si="175"/>
        <v>USD</v>
      </c>
      <c r="E2582" t="str">
        <f>"2010"</f>
        <v>2010</v>
      </c>
      <c r="F2582" t="str">
        <f>"Cho"</f>
        <v>Cho</v>
      </c>
      <c r="G2582" t="str">
        <f>"safirketab"</f>
        <v>safirketab</v>
      </c>
    </row>
    <row r="2583" spans="1:7" x14ac:dyDescent="0.25">
      <c r="A2583" t="str">
        <f>"Weight Loss Surgery Cookbook For Dummies,2e"</f>
        <v>Weight Loss Surgery Cookbook For Dummies,2e</v>
      </c>
      <c r="B2583" t="str">
        <f>"9781119286158"</f>
        <v>9781119286158</v>
      </c>
      <c r="C2583">
        <v>19.5</v>
      </c>
      <c r="D2583" t="str">
        <f t="shared" si="175"/>
        <v>USD</v>
      </c>
      <c r="E2583" t="str">
        <f>"2016"</f>
        <v>2016</v>
      </c>
      <c r="F2583" t="str">
        <f>"Davidson"</f>
        <v>Davidson</v>
      </c>
      <c r="G2583" t="str">
        <f>"avanddanesh"</f>
        <v>avanddanesh</v>
      </c>
    </row>
    <row r="2584" spans="1:7" x14ac:dyDescent="0.25">
      <c r="A2584" t="str">
        <f>"What's Cooking in Chemistry?:How Leading Chemists Succeed in the Kitchen"</f>
        <v>What's Cooking in Chemistry?:How Leading Chemists Succeed in the Kitchen</v>
      </c>
      <c r="B2584" t="str">
        <f>"9783527326211"</f>
        <v>9783527326211</v>
      </c>
      <c r="C2584">
        <v>14.96</v>
      </c>
      <c r="D2584" t="str">
        <f t="shared" si="175"/>
        <v>USD</v>
      </c>
      <c r="E2584" t="str">
        <f>"2009"</f>
        <v>2009</v>
      </c>
      <c r="F2584" t="str">
        <f>"Bell"</f>
        <v>Bell</v>
      </c>
      <c r="G2584" t="str">
        <f>"safirketab"</f>
        <v>safirketab</v>
      </c>
    </row>
    <row r="2585" spans="1:7" x14ac:dyDescent="0.25">
      <c r="A2585" t="str">
        <f>"Whole Grain Breads by Machine or Hand"</f>
        <v>Whole Grain Breads by Machine or Hand</v>
      </c>
      <c r="B2585" t="str">
        <f>"9780764538254"</f>
        <v>9780764538254</v>
      </c>
      <c r="C2585">
        <v>8</v>
      </c>
      <c r="D2585" t="str">
        <f t="shared" si="175"/>
        <v>USD</v>
      </c>
      <c r="E2585" t="str">
        <f>"1998"</f>
        <v>1998</v>
      </c>
      <c r="F2585" t="str">
        <f>"Ojakangas"</f>
        <v>Ojakangas</v>
      </c>
      <c r="G2585" t="str">
        <f>"avanddanesh"</f>
        <v>avanddanesh</v>
      </c>
    </row>
    <row r="2586" spans="1:7" x14ac:dyDescent="0.25">
      <c r="A2586" t="str">
        <f>"Whole Grains and Health"</f>
        <v>Whole Grains and Health</v>
      </c>
      <c r="B2586" t="str">
        <f>"9780813807775"</f>
        <v>9780813807775</v>
      </c>
      <c r="C2586">
        <v>131.99</v>
      </c>
      <c r="D2586" t="str">
        <f t="shared" si="175"/>
        <v>USD</v>
      </c>
      <c r="E2586" t="str">
        <f>"2007"</f>
        <v>2007</v>
      </c>
      <c r="F2586" t="str">
        <f>"Marquart"</f>
        <v>Marquart</v>
      </c>
      <c r="G2586" t="str">
        <f>"safirketab"</f>
        <v>safirketab</v>
      </c>
    </row>
    <row r="2587" spans="1:7" x14ac:dyDescent="0.25">
      <c r="A2587" t="str">
        <f>"Wild Plants, Mushrooms and Nuts: Functional Food Properties and Applications"</f>
        <v>Wild Plants, Mushrooms and Nuts: Functional Food Properties and Applications</v>
      </c>
      <c r="B2587" t="str">
        <f>"9781118944622"</f>
        <v>9781118944622</v>
      </c>
      <c r="C2587">
        <v>140.30000000000001</v>
      </c>
      <c r="D2587" t="str">
        <f t="shared" si="175"/>
        <v>USD</v>
      </c>
      <c r="E2587" t="str">
        <f>"2016"</f>
        <v>2016</v>
      </c>
      <c r="F2587" t="str">
        <f>"Ferreira"</f>
        <v>Ferreira</v>
      </c>
      <c r="G2587" t="str">
        <f>"avanddanesh"</f>
        <v>avanddanesh</v>
      </c>
    </row>
    <row r="2588" spans="1:7" x14ac:dyDescent="0.25">
      <c r="A2588" t="str">
        <f>"Wine Tasting, A Professional Handbook, 3rd Edition"</f>
        <v>Wine Tasting, A Professional Handbook, 3rd Edition</v>
      </c>
      <c r="B2588" t="str">
        <f>"9780128018125"</f>
        <v>9780128018125</v>
      </c>
      <c r="C2588">
        <v>90</v>
      </c>
      <c r="D2588" t="str">
        <f t="shared" si="175"/>
        <v>USD</v>
      </c>
      <c r="E2588" t="str">
        <f>"2017"</f>
        <v>2017</v>
      </c>
      <c r="F2588" t="str">
        <f>"Jackson"</f>
        <v>Jackson</v>
      </c>
      <c r="G2588" t="str">
        <f>"dehkadehketab"</f>
        <v>dehkadehketab</v>
      </c>
    </row>
    <row r="2589" spans="1:7" x14ac:dyDescent="0.25">
      <c r="A2589" t="str">
        <f>"Wings:More Than 50 High-Flying Recipes for America's Favorite Snack"</f>
        <v>Wings:More Than 50 High-Flying Recipes for America's Favorite Snack</v>
      </c>
      <c r="B2589" t="str">
        <f>"9780470283479"</f>
        <v>9780470283479</v>
      </c>
      <c r="C2589">
        <v>6.8</v>
      </c>
      <c r="D2589" t="str">
        <f t="shared" si="175"/>
        <v>USD</v>
      </c>
      <c r="E2589" t="str">
        <f>"2009"</f>
        <v>2009</v>
      </c>
      <c r="F2589" t="str">
        <f>"Moose"</f>
        <v>Moose</v>
      </c>
      <c r="G2589" t="str">
        <f>"avanddanesh"</f>
        <v>avanddanesh</v>
      </c>
    </row>
    <row r="2590" spans="1:7" x14ac:dyDescent="0.25">
      <c r="A2590" t="str">
        <f>"World Food: Production and Use"</f>
        <v>World Food: Production and Use</v>
      </c>
      <c r="B2590" t="str">
        <f>"9780470043820"</f>
        <v>9780470043820</v>
      </c>
      <c r="C2590">
        <v>48</v>
      </c>
      <c r="D2590" t="str">
        <f t="shared" si="175"/>
        <v>USD</v>
      </c>
      <c r="E2590" t="str">
        <f>"2007"</f>
        <v>2007</v>
      </c>
      <c r="F2590" t="str">
        <f>"Conklin"</f>
        <v>Conklin</v>
      </c>
      <c r="G2590" t="str">
        <f>"avanddanesh"</f>
        <v>avanddanesh</v>
      </c>
    </row>
    <row r="2591" spans="1:7" x14ac:dyDescent="0.25">
      <c r="A2591" t="str">
        <f>"You Can Can!: A Visual Step-by-Step Guide to Canning, Preserving, and Pickling, with 100 Recipes"</f>
        <v>You Can Can!: A Visual Step-by-Step Guide to Canning, Preserving, and Pickling, with 100 Recipes</v>
      </c>
      <c r="B2591" t="str">
        <f>"9780470607565"</f>
        <v>9780470607565</v>
      </c>
      <c r="C2591">
        <v>7.2</v>
      </c>
      <c r="D2591" t="str">
        <f t="shared" si="175"/>
        <v>USD</v>
      </c>
      <c r="E2591" t="str">
        <f>"2010"</f>
        <v>2010</v>
      </c>
      <c r="F2591" t="str">
        <f>"Better Homes"</f>
        <v>Better Homes</v>
      </c>
      <c r="G2591" t="str">
        <f>"avanddanesh"</f>
        <v>avanddanesh</v>
      </c>
    </row>
    <row r="2593" spans="1:7" ht="15" customHeight="1" x14ac:dyDescent="0.25">
      <c r="A2593" s="1" t="s">
        <v>16</v>
      </c>
      <c r="B2593" s="2"/>
      <c r="C2593" s="2"/>
      <c r="D2593" s="2"/>
      <c r="E2593" s="2"/>
      <c r="F2593" s="2"/>
      <c r="G2593" s="2"/>
    </row>
    <row r="2594" spans="1:7" x14ac:dyDescent="0.25">
      <c r="A2594" s="2"/>
      <c r="B2594" s="2"/>
      <c r="C2594" s="2"/>
      <c r="D2594" s="2"/>
      <c r="E2594" s="2"/>
      <c r="F2594" s="2"/>
      <c r="G2594" s="2"/>
    </row>
    <row r="2595" spans="1:7" x14ac:dyDescent="0.25">
      <c r="A2595" s="3" t="s">
        <v>0</v>
      </c>
      <c r="B2595" s="4" t="s">
        <v>1</v>
      </c>
      <c r="C2595" s="3" t="s">
        <v>2</v>
      </c>
      <c r="D2595" s="3" t="s">
        <v>3</v>
      </c>
      <c r="E2595" s="3" t="s">
        <v>4</v>
      </c>
      <c r="F2595" s="3" t="s">
        <v>5</v>
      </c>
      <c r="G2595" s="3" t="s">
        <v>6</v>
      </c>
    </row>
    <row r="2596" spans="1:7" x14ac:dyDescent="0.25">
      <c r="A2596" t="str">
        <f>"* Comprehensive Environmental Studies"</f>
        <v>* Comprehensive Environmental Studies</v>
      </c>
      <c r="B2596" t="str">
        <f>"9781842658772"</f>
        <v>9781842658772</v>
      </c>
      <c r="C2596">
        <v>41.96</v>
      </c>
      <c r="D2596" t="str">
        <f>"GBP"</f>
        <v>GBP</v>
      </c>
      <c r="E2596" t="str">
        <f>"2015"</f>
        <v>2015</v>
      </c>
      <c r="F2596" t="str">
        <f>"Bhattacharya"</f>
        <v>Bhattacharya</v>
      </c>
      <c r="G2596" t="str">
        <f>"safirketab"</f>
        <v>safirketab</v>
      </c>
    </row>
    <row r="2597" spans="1:7" x14ac:dyDescent="0.25">
      <c r="A2597" t="str">
        <f>"21st Century Encyclopedia Of Global Warming &amp; Climate Change, Set Of 5 Vols, HB"</f>
        <v>21st Century Encyclopedia Of Global Warming &amp; Climate Change, Set Of 5 Vols, HB</v>
      </c>
      <c r="B2597" t="str">
        <f>"9781926686387"</f>
        <v>9781926686387</v>
      </c>
      <c r="C2597">
        <v>426.62</v>
      </c>
      <c r="D2597" t="str">
        <f>"USD"</f>
        <v>USD</v>
      </c>
      <c r="E2597" t="str">
        <f>"2010"</f>
        <v>2010</v>
      </c>
      <c r="F2597" t="str">
        <f>"Dubois"</f>
        <v>Dubois</v>
      </c>
      <c r="G2597" t="str">
        <f>"supply"</f>
        <v>supply</v>
      </c>
    </row>
    <row r="2598" spans="1:7" x14ac:dyDescent="0.25">
      <c r="A2598" t="str">
        <f>"A Biogeoscience Approach to Ecosystems"</f>
        <v>A Biogeoscience Approach to Ecosystems</v>
      </c>
      <c r="B2598" t="str">
        <f>"9781107046702"</f>
        <v>9781107046702</v>
      </c>
      <c r="C2598">
        <v>48.8</v>
      </c>
      <c r="D2598" t="str">
        <f>"GBP"</f>
        <v>GBP</v>
      </c>
      <c r="E2598" t="str">
        <f>"2016"</f>
        <v>2016</v>
      </c>
      <c r="F2598" t="str">
        <f>"Edward A. Johnson , "</f>
        <v xml:space="preserve">Edward A. Johnson , </v>
      </c>
      <c r="G2598" t="str">
        <f>"arzinbooks"</f>
        <v>arzinbooks</v>
      </c>
    </row>
    <row r="2599" spans="1:7" x14ac:dyDescent="0.25">
      <c r="A2599" t="str">
        <f>"A Changing World"</f>
        <v>A Changing World</v>
      </c>
      <c r="B2599" t="str">
        <f>"9781402044342"</f>
        <v>9781402044342</v>
      </c>
      <c r="C2599">
        <v>72</v>
      </c>
      <c r="D2599" t="str">
        <f>"USD"</f>
        <v>USD</v>
      </c>
      <c r="E2599" t="str">
        <f>"2007"</f>
        <v>2007</v>
      </c>
      <c r="F2599" t="str">
        <f>"Landscape Series Vol"</f>
        <v>Landscape Series Vol</v>
      </c>
      <c r="G2599" t="str">
        <f>"safirketab"</f>
        <v>safirketab</v>
      </c>
    </row>
    <row r="2600" spans="1:7" x14ac:dyDescent="0.25">
      <c r="A2600" t="str">
        <f>"A Critical Approach to International Water Management Trends: Policy and Practice"</f>
        <v>A Critical Approach to International Water Management Trends: Policy and Practice</v>
      </c>
      <c r="B2600" t="str">
        <f>"9781137600851"</f>
        <v>9781137600851</v>
      </c>
      <c r="C2600">
        <v>107.99</v>
      </c>
      <c r="D2600" t="str">
        <f>"EUR"</f>
        <v>EUR</v>
      </c>
      <c r="E2600" t="str">
        <f>"2018"</f>
        <v>2018</v>
      </c>
      <c r="F2600" t="str">
        <f>"BrÃ©thaut"</f>
        <v>BrÃ©thaut</v>
      </c>
      <c r="G2600" t="str">
        <f>"negarestanabi"</f>
        <v>negarestanabi</v>
      </c>
    </row>
    <row r="2601" spans="1:7" x14ac:dyDescent="0.25">
      <c r="A2601" t="str">
        <f>"A Cultural History of Climate"</f>
        <v>A Cultural History of Climate</v>
      </c>
      <c r="B2601" t="str">
        <f>"9780745645292"</f>
        <v>9780745645292</v>
      </c>
      <c r="C2601">
        <v>10</v>
      </c>
      <c r="D2601" t="str">
        <f>"USD"</f>
        <v>USD</v>
      </c>
      <c r="E2601" t="str">
        <f>"2009"</f>
        <v>2009</v>
      </c>
      <c r="F2601" t="str">
        <f>"Behringer"</f>
        <v>Behringer</v>
      </c>
      <c r="G2601" t="str">
        <f>"safirketab"</f>
        <v>safirketab</v>
      </c>
    </row>
    <row r="2602" spans="1:7" x14ac:dyDescent="0.25">
      <c r="A2602" t="str">
        <f>"A Dual Approach To Ocean Governance, HB"</f>
        <v>A Dual Approach To Ocean Governance, HB</v>
      </c>
      <c r="B2602" t="str">
        <f>"9780754671701"</f>
        <v>9780754671701</v>
      </c>
      <c r="C2602">
        <v>66.5</v>
      </c>
      <c r="D2602" t="str">
        <f>"GBP"</f>
        <v>GBP</v>
      </c>
      <c r="E2602" t="str">
        <f>"2008"</f>
        <v>2008</v>
      </c>
      <c r="F2602" t="str">
        <f>"Tanaka"</f>
        <v>Tanaka</v>
      </c>
      <c r="G2602" t="str">
        <f>"supply"</f>
        <v>supply</v>
      </c>
    </row>
    <row r="2603" spans="1:7" x14ac:dyDescent="0.25">
      <c r="A2603" t="str">
        <f>"A New Agenda For Sustainability, HB"</f>
        <v>A New Agenda For Sustainability, HB</v>
      </c>
      <c r="B2603" t="str">
        <f>"9780754679769"</f>
        <v>9780754679769</v>
      </c>
      <c r="C2603">
        <v>104.96</v>
      </c>
      <c r="D2603" t="str">
        <f>"USD"</f>
        <v>USD</v>
      </c>
      <c r="E2603" t="str">
        <f>"2010"</f>
        <v>2010</v>
      </c>
      <c r="F2603" t="str">
        <f>"Nielsen"</f>
        <v>Nielsen</v>
      </c>
      <c r="G2603" t="str">
        <f>"supply"</f>
        <v>supply</v>
      </c>
    </row>
    <row r="2604" spans="1:7" x14ac:dyDescent="0.25">
      <c r="A2604" t="str">
        <f>"A Study on Antimicrobial Effects of Nanosilver for Drinking Water Disinfection"</f>
        <v>A Study on Antimicrobial Effects of Nanosilver for Drinking Water Disinfection</v>
      </c>
      <c r="B2604" t="str">
        <f>"9789811029011"</f>
        <v>9789811029011</v>
      </c>
      <c r="C2604">
        <v>98.99</v>
      </c>
      <c r="D2604" t="str">
        <f>"EUR"</f>
        <v>EUR</v>
      </c>
      <c r="E2604" t="str">
        <f>"2017"</f>
        <v>2017</v>
      </c>
      <c r="F2604" t="str">
        <f>"Yang"</f>
        <v>Yang</v>
      </c>
      <c r="G2604" t="str">
        <f>"negarestanabi"</f>
        <v>negarestanabi</v>
      </c>
    </row>
    <row r="2605" spans="1:7" x14ac:dyDescent="0.25">
      <c r="A2605" t="str">
        <f>"A Sustainable Future: 12 Areas of Global Concern"</f>
        <v>A Sustainable Future: 12 Areas of Global Concern</v>
      </c>
      <c r="B2605" t="str">
        <f>"9781910376737"</f>
        <v>9781910376737</v>
      </c>
      <c r="C2605">
        <v>10.8</v>
      </c>
      <c r="D2605" t="str">
        <f>"GBP"</f>
        <v>GBP</v>
      </c>
      <c r="E2605" t="str">
        <f>"2018"</f>
        <v>2018</v>
      </c>
      <c r="F2605" t="str">
        <f>"Klaus Wiegandt (Edit"</f>
        <v>Klaus Wiegandt (Edit</v>
      </c>
      <c r="G2605" t="str">
        <f>"arzinbooks"</f>
        <v>arzinbooks</v>
      </c>
    </row>
    <row r="2606" spans="1:7" x14ac:dyDescent="0.25">
      <c r="A2606" t="str">
        <f>"Adaptive Food Webs : Stability and Transitions of Real and Model Ecosystems"</f>
        <v>Adaptive Food Webs : Stability and Transitions of Real and Model Ecosystems</v>
      </c>
      <c r="B2606" t="str">
        <f>"9781107182110"</f>
        <v>9781107182110</v>
      </c>
      <c r="C2606">
        <v>59.5</v>
      </c>
      <c r="D2606" t="str">
        <f>"GBP"</f>
        <v>GBP</v>
      </c>
      <c r="E2606" t="str">
        <f>"2017"</f>
        <v>2017</v>
      </c>
      <c r="F2606" t="str">
        <f>"Moore"</f>
        <v>Moore</v>
      </c>
      <c r="G2606" t="str">
        <f>"arzinbooks"</f>
        <v>arzinbooks</v>
      </c>
    </row>
    <row r="2607" spans="1:7" x14ac:dyDescent="0.25">
      <c r="A2607" t="str">
        <f>"Adaptive Soil Management : From Theory to Practices"</f>
        <v>Adaptive Soil Management : From Theory to Practices</v>
      </c>
      <c r="B2607" t="str">
        <f>"9789811036378"</f>
        <v>9789811036378</v>
      </c>
      <c r="C2607">
        <v>179.99</v>
      </c>
      <c r="D2607" t="str">
        <f>"EUR"</f>
        <v>EUR</v>
      </c>
      <c r="E2607" t="str">
        <f>"2017"</f>
        <v>2017</v>
      </c>
      <c r="F2607" t="str">
        <f>"Rakshit"</f>
        <v>Rakshit</v>
      </c>
      <c r="G2607" t="str">
        <f>"negarestanabi"</f>
        <v>negarestanabi</v>
      </c>
    </row>
    <row r="2608" spans="1:7" x14ac:dyDescent="0.25">
      <c r="A2608" t="str">
        <f>"Adsorption Processes for Water Treatment and Purification "</f>
        <v xml:space="preserve">Adsorption Processes for Water Treatment and Purification </v>
      </c>
      <c r="B2608" t="str">
        <f>"9783319581354"</f>
        <v>9783319581354</v>
      </c>
      <c r="C2608">
        <v>125.99</v>
      </c>
      <c r="D2608" t="str">
        <f>"EUR"</f>
        <v>EUR</v>
      </c>
      <c r="E2608" t="str">
        <f>"2017"</f>
        <v>2017</v>
      </c>
      <c r="F2608" t="str">
        <f>"Bonilla-Petriciolet"</f>
        <v>Bonilla-Petriciolet</v>
      </c>
      <c r="G2608" t="str">
        <f>"negarestanabi"</f>
        <v>negarestanabi</v>
      </c>
    </row>
    <row r="2609" spans="1:7" x14ac:dyDescent="0.25">
      <c r="A2609" t="str">
        <f>"Advanced Biological Processes for Wastewater Treatment: Emerging. Consolidated Technologies and Introduction to Molecular Techniques"</f>
        <v>Advanced Biological Processes for Wastewater Treatment: Emerging. Consolidated Technologies and Introduction to Molecular Techniques</v>
      </c>
      <c r="B2609" t="str">
        <f>"9783319588346"</f>
        <v>9783319588346</v>
      </c>
      <c r="C2609">
        <v>125.99</v>
      </c>
      <c r="D2609" t="str">
        <f>"EUR"</f>
        <v>EUR</v>
      </c>
      <c r="E2609" t="str">
        <f>"2018"</f>
        <v>2018</v>
      </c>
      <c r="F2609" t="str">
        <f>"Dezotti"</f>
        <v>Dezotti</v>
      </c>
      <c r="G2609" t="str">
        <f>"negarestanabi"</f>
        <v>negarestanabi</v>
      </c>
    </row>
    <row r="2610" spans="1:7" x14ac:dyDescent="0.25">
      <c r="A2610" t="str">
        <f>"Advanced Environmental Wind Engineering"</f>
        <v>Advanced Environmental Wind Engineering</v>
      </c>
      <c r="B2610" t="str">
        <f>"9784431559108"</f>
        <v>9784431559108</v>
      </c>
      <c r="C2610">
        <v>98.99</v>
      </c>
      <c r="D2610" t="str">
        <f>"EUR"</f>
        <v>EUR</v>
      </c>
      <c r="E2610" t="str">
        <f>"2016"</f>
        <v>2016</v>
      </c>
      <c r="F2610" t="str">
        <f>"Tamura"</f>
        <v>Tamura</v>
      </c>
      <c r="G2610" t="str">
        <f>"negarestanabi"</f>
        <v>negarestanabi</v>
      </c>
    </row>
    <row r="2611" spans="1:7" x14ac:dyDescent="0.25">
      <c r="A2611" t="str">
        <f>"ADVANCED GEOINFORMATION SCIENCE"</f>
        <v>ADVANCED GEOINFORMATION SCIENCE</v>
      </c>
      <c r="B2611" t="str">
        <f>"9781439810606"</f>
        <v>9781439810606</v>
      </c>
      <c r="C2611">
        <v>29.7</v>
      </c>
      <c r="D2611" t="str">
        <f>"GBP"</f>
        <v>GBP</v>
      </c>
      <c r="E2611" t="str">
        <f>"2011"</f>
        <v>2011</v>
      </c>
      <c r="F2611" t="str">
        <f>"CHAOWEI YANG"</f>
        <v>CHAOWEI YANG</v>
      </c>
      <c r="G2611" t="str">
        <f>"AsarBartar"</f>
        <v>AsarBartar</v>
      </c>
    </row>
    <row r="2612" spans="1:7" x14ac:dyDescent="0.25">
      <c r="A2612" t="str">
        <f>"Advanced Materials for Agriculture, Food and Environmental Safety"</f>
        <v>Advanced Materials for Agriculture, Food and Environmental Safety</v>
      </c>
      <c r="B2612" t="str">
        <f>"9781118773437"</f>
        <v>9781118773437</v>
      </c>
      <c r="C2612">
        <v>150.69999999999999</v>
      </c>
      <c r="D2612" t="str">
        <f>"USD"</f>
        <v>USD</v>
      </c>
      <c r="E2612" t="str">
        <f>"2014"</f>
        <v>2014</v>
      </c>
      <c r="F2612" t="str">
        <f>"Tiwari"</f>
        <v>Tiwari</v>
      </c>
      <c r="G2612" t="str">
        <f>"avanddanesh"</f>
        <v>avanddanesh</v>
      </c>
    </row>
    <row r="2613" spans="1:7" x14ac:dyDescent="0.25">
      <c r="A2613" t="str">
        <f>"Advanced Nanomaterials for Water Engineering, Treatment, and Hydraulics"</f>
        <v>Advanced Nanomaterials for Water Engineering, Treatment, and Hydraulics</v>
      </c>
      <c r="B2613" t="str">
        <f>"9781522521365"</f>
        <v>9781522521365</v>
      </c>
      <c r="C2613">
        <v>150</v>
      </c>
      <c r="D2613" t="str">
        <f>"USD"</f>
        <v>USD</v>
      </c>
      <c r="E2613" t="str">
        <f>"2017"</f>
        <v>2017</v>
      </c>
      <c r="F2613" t="str">
        <f>"TAWFIK A. SALEH"</f>
        <v>TAWFIK A. SALEH</v>
      </c>
      <c r="G2613" t="str">
        <f>"arzinbooks"</f>
        <v>arzinbooks</v>
      </c>
    </row>
    <row r="2614" spans="1:7" x14ac:dyDescent="0.25">
      <c r="A2614" t="str">
        <f>"Advanced Treatment Technologies for Urban Wastewater Reuse  "</f>
        <v xml:space="preserve">Advanced Treatment Technologies for Urban Wastewater Reuse  </v>
      </c>
      <c r="B2614" t="str">
        <f>"9783319238852"</f>
        <v>9783319238852</v>
      </c>
      <c r="C2614">
        <v>224.99</v>
      </c>
      <c r="D2614" t="str">
        <f>"EUR"</f>
        <v>EUR</v>
      </c>
      <c r="E2614" t="str">
        <f>"2016"</f>
        <v>2016</v>
      </c>
      <c r="F2614" t="str">
        <f>"Fatta-Kassinos"</f>
        <v>Fatta-Kassinos</v>
      </c>
      <c r="G2614" t="str">
        <f>"negarestanabi"</f>
        <v>negarestanabi</v>
      </c>
    </row>
    <row r="2615" spans="1:7" x14ac:dyDescent="0.25">
      <c r="A2615" t="str">
        <f>"Advances In Aquatic Ecology Vol 3, HB"</f>
        <v>Advances In Aquatic Ecology Vol 3, HB</v>
      </c>
      <c r="B2615" t="str">
        <f>"9788170356332"</f>
        <v>9788170356332</v>
      </c>
      <c r="C2615">
        <v>17.5</v>
      </c>
      <c r="D2615" t="str">
        <f t="shared" ref="D2615:D2620" si="176">"USD"</f>
        <v>USD</v>
      </c>
      <c r="E2615" t="str">
        <f>"2010"</f>
        <v>2010</v>
      </c>
      <c r="F2615" t="str">
        <f>"Sakhare"</f>
        <v>Sakhare</v>
      </c>
      <c r="G2615" t="str">
        <f>"supply"</f>
        <v>supply</v>
      </c>
    </row>
    <row r="2616" spans="1:7" x14ac:dyDescent="0.25">
      <c r="A2616" t="str">
        <f>"Advances In Aquatic Ecology Vol 4, HB"</f>
        <v>Advances In Aquatic Ecology Vol 4, HB</v>
      </c>
      <c r="B2616" t="str">
        <f>"9788170356578"</f>
        <v>9788170356578</v>
      </c>
      <c r="C2616">
        <v>16.38</v>
      </c>
      <c r="D2616" t="str">
        <f t="shared" si="176"/>
        <v>USD</v>
      </c>
      <c r="E2616" t="str">
        <f>"2010"</f>
        <v>2010</v>
      </c>
      <c r="F2616" t="str">
        <f>"Sakhare"</f>
        <v>Sakhare</v>
      </c>
      <c r="G2616" t="str">
        <f>"supply"</f>
        <v>supply</v>
      </c>
    </row>
    <row r="2617" spans="1:7" x14ac:dyDescent="0.25">
      <c r="A2617" t="str">
        <f>"Advances In Aquatic Ecology Vol 5, HB"</f>
        <v>Advances In Aquatic Ecology Vol 5, HB</v>
      </c>
      <c r="B2617" t="str">
        <f>"9788170356974"</f>
        <v>9788170356974</v>
      </c>
      <c r="C2617">
        <v>24.71</v>
      </c>
      <c r="D2617" t="str">
        <f t="shared" si="176"/>
        <v>USD</v>
      </c>
      <c r="E2617" t="str">
        <f>"2011"</f>
        <v>2011</v>
      </c>
      <c r="F2617" t="str">
        <f>"Sakhare"</f>
        <v>Sakhare</v>
      </c>
      <c r="G2617" t="str">
        <f>"supply"</f>
        <v>supply</v>
      </c>
    </row>
    <row r="2618" spans="1:7" x14ac:dyDescent="0.25">
      <c r="A2618" t="s">
        <v>11</v>
      </c>
      <c r="B2618" t="str">
        <f>"9788170358206"</f>
        <v>9788170358206</v>
      </c>
      <c r="C2618">
        <v>21.7</v>
      </c>
      <c r="D2618" t="str">
        <f t="shared" si="176"/>
        <v>USD</v>
      </c>
      <c r="E2618" t="str">
        <f>"2013"</f>
        <v>2013</v>
      </c>
      <c r="F2618" t="str">
        <f>"Sakhare"</f>
        <v>Sakhare</v>
      </c>
      <c r="G2618" t="str">
        <f>"supply"</f>
        <v>supply</v>
      </c>
    </row>
    <row r="2619" spans="1:7" x14ac:dyDescent="0.25">
      <c r="A2619" t="str">
        <f>"Advances in Bioenergy: The Sustainability Challenge"</f>
        <v>Advances in Bioenergy: The Sustainability Challenge</v>
      </c>
      <c r="B2619" t="str">
        <f>"9781118957875"</f>
        <v>9781118957875</v>
      </c>
      <c r="C2619">
        <v>131.80000000000001</v>
      </c>
      <c r="D2619" t="str">
        <f t="shared" si="176"/>
        <v>USD</v>
      </c>
      <c r="E2619" t="str">
        <f>"2016"</f>
        <v>2016</v>
      </c>
      <c r="F2619" t="str">
        <f>"Lund"</f>
        <v>Lund</v>
      </c>
      <c r="G2619" t="str">
        <f>"avanddanesh"</f>
        <v>avanddanesh</v>
      </c>
    </row>
    <row r="2620" spans="1:7" x14ac:dyDescent="0.25">
      <c r="A2620" t="str">
        <f>"Advances In Ecology And Environmental Sciences, HB"</f>
        <v>Advances In Ecology And Environmental Sciences, HB</v>
      </c>
      <c r="B2620" t="str">
        <f>"9788170246763"</f>
        <v>9788170246763</v>
      </c>
      <c r="C2620">
        <v>52.43</v>
      </c>
      <c r="D2620" t="str">
        <f t="shared" si="176"/>
        <v>USD</v>
      </c>
      <c r="E2620" t="str">
        <f>"2012"</f>
        <v>2012</v>
      </c>
      <c r="F2620" t="str">
        <f>"Mishra"</f>
        <v>Mishra</v>
      </c>
      <c r="G2620" t="str">
        <f>"supply"</f>
        <v>supply</v>
      </c>
    </row>
    <row r="2621" spans="1:7" x14ac:dyDescent="0.25">
      <c r="A2621" t="str">
        <f>"Advances in Environmental Biotechnology"</f>
        <v>Advances in Environmental Biotechnology</v>
      </c>
      <c r="B2621" t="str">
        <f>"9789811040405"</f>
        <v>9789811040405</v>
      </c>
      <c r="C2621">
        <v>76.489999999999995</v>
      </c>
      <c r="D2621" t="str">
        <f>"EUR"</f>
        <v>EUR</v>
      </c>
      <c r="E2621" t="str">
        <f>"2017"</f>
        <v>2017</v>
      </c>
      <c r="F2621" t="str">
        <f>"Kumar"</f>
        <v>Kumar</v>
      </c>
      <c r="G2621" t="str">
        <f>"negarestanabi"</f>
        <v>negarestanabi</v>
      </c>
    </row>
    <row r="2622" spans="1:7" x14ac:dyDescent="0.25">
      <c r="A2622" t="str">
        <f>"Advances in Environmental Remote Sensing: Sensors, Algorithms, and Applications (Remote Sensing Applications Series"</f>
        <v>Advances in Environmental Remote Sensing: Sensors, Algorithms, and Applications (Remote Sensing Applications Series</v>
      </c>
      <c r="B2622" t="str">
        <f>"9781138072916"</f>
        <v>9781138072916</v>
      </c>
      <c r="C2622">
        <v>54</v>
      </c>
      <c r="D2622" t="str">
        <f>"GBP"</f>
        <v>GBP</v>
      </c>
      <c r="E2622" t="str">
        <f>"2017"</f>
        <v>2017</v>
      </c>
      <c r="F2622" t="str">
        <f>"Qihao Weng(Editor)"</f>
        <v>Qihao Weng(Editor)</v>
      </c>
      <c r="G2622" t="str">
        <f>"AsarBartar"</f>
        <v>AsarBartar</v>
      </c>
    </row>
    <row r="2623" spans="1:7" x14ac:dyDescent="0.25">
      <c r="A2623" t="str">
        <f>"Advances in Geophysics, Volume58"</f>
        <v>Advances in Geophysics, Volume58</v>
      </c>
      <c r="B2623" t="str">
        <f>"9780128124130"</f>
        <v>9780128124130</v>
      </c>
      <c r="C2623">
        <v>199.8</v>
      </c>
      <c r="D2623" t="str">
        <f>"USD"</f>
        <v>USD</v>
      </c>
      <c r="E2623" t="str">
        <f>"2017"</f>
        <v>2017</v>
      </c>
      <c r="F2623" t="str">
        <f>"Nielsen"</f>
        <v>Nielsen</v>
      </c>
      <c r="G2623" t="str">
        <f>"arang"</f>
        <v>arang</v>
      </c>
    </row>
    <row r="2624" spans="1:7" x14ac:dyDescent="0.25">
      <c r="A2624" t="str">
        <f>"Advances in Monitoring and Modelling Algal Blooms in Freshwater Reservoirs"</f>
        <v>Advances in Monitoring and Modelling Algal Blooms in Freshwater Reservoirs</v>
      </c>
      <c r="B2624" t="str">
        <f>"9789402409314"</f>
        <v>9789402409314</v>
      </c>
      <c r="C2624">
        <v>98.99</v>
      </c>
      <c r="D2624" t="str">
        <f>"EUR"</f>
        <v>EUR</v>
      </c>
      <c r="E2624" t="str">
        <f>"2017"</f>
        <v>2017</v>
      </c>
      <c r="F2624" t="str">
        <f>"Lou"</f>
        <v>Lou</v>
      </c>
      <c r="G2624" t="str">
        <f>"negarestanabi"</f>
        <v>negarestanabi</v>
      </c>
    </row>
    <row r="2625" spans="1:7" x14ac:dyDescent="0.25">
      <c r="A2625" t="str">
        <f>"Advances in Solid and Hazardous Waste Management"</f>
        <v>Advances in Solid and Hazardous Waste Management</v>
      </c>
      <c r="B2625" t="str">
        <f>"9783319570747"</f>
        <v>9783319570747</v>
      </c>
      <c r="C2625">
        <v>134.99</v>
      </c>
      <c r="D2625" t="str">
        <f>"EUR"</f>
        <v>EUR</v>
      </c>
      <c r="E2625" t="str">
        <f>"2017"</f>
        <v>2017</v>
      </c>
      <c r="F2625" t="str">
        <f>"Goel"</f>
        <v>Goel</v>
      </c>
      <c r="G2625" t="str">
        <f>"negarestanabi"</f>
        <v>negarestanabi</v>
      </c>
    </row>
    <row r="2626" spans="1:7" x14ac:dyDescent="0.25">
      <c r="A2626" t="str">
        <f>"Aeration Control System Design: A Practical Guide to Energy and Process Optimization"</f>
        <v>Aeration Control System Design: A Practical Guide to Energy and Process Optimization</v>
      </c>
      <c r="B2626" t="str">
        <f>"9781118389980"</f>
        <v>9781118389980</v>
      </c>
      <c r="C2626">
        <v>85.5</v>
      </c>
      <c r="D2626" t="str">
        <f t="shared" ref="D2626:D2633" si="177">"USD"</f>
        <v>USD</v>
      </c>
      <c r="E2626" t="str">
        <f>"2014"</f>
        <v>2014</v>
      </c>
      <c r="F2626" t="str">
        <f>"Jenkins"</f>
        <v>Jenkins</v>
      </c>
      <c r="G2626" t="str">
        <f>"avanddanesh"</f>
        <v>avanddanesh</v>
      </c>
    </row>
    <row r="2627" spans="1:7" x14ac:dyDescent="0.25">
      <c r="A2627" t="str">
        <f>"Aerosol Measurement: Principles, Techniques, and Applications,3e"</f>
        <v>Aerosol Measurement: Principles, Techniques, and Applications,3e</v>
      </c>
      <c r="B2627" t="str">
        <f>"9780470387412"</f>
        <v>9780470387412</v>
      </c>
      <c r="C2627">
        <v>89.6</v>
      </c>
      <c r="D2627" t="str">
        <f t="shared" si="177"/>
        <v>USD</v>
      </c>
      <c r="E2627" t="str">
        <f>"2011"</f>
        <v>2011</v>
      </c>
      <c r="F2627" t="str">
        <f>"Kulkarni"</f>
        <v>Kulkarni</v>
      </c>
      <c r="G2627" t="str">
        <f>"avanddanesh"</f>
        <v>avanddanesh</v>
      </c>
    </row>
    <row r="2628" spans="1:7" x14ac:dyDescent="0.25">
      <c r="A2628" t="str">
        <f>"Aerosol Sampling: Science, Standards, Instrumentation and Applications"</f>
        <v>Aerosol Sampling: Science, Standards, Instrumentation and Applications</v>
      </c>
      <c r="B2628" t="str">
        <f>"9780470027257"</f>
        <v>9780470027257</v>
      </c>
      <c r="C2628">
        <v>114</v>
      </c>
      <c r="D2628" t="str">
        <f t="shared" si="177"/>
        <v>USD</v>
      </c>
      <c r="E2628" t="str">
        <f>"2007"</f>
        <v>2007</v>
      </c>
      <c r="F2628" t="str">
        <f>"James H. Vincent"</f>
        <v>James H. Vincent</v>
      </c>
      <c r="G2628" t="str">
        <f>"safirketab"</f>
        <v>safirketab</v>
      </c>
    </row>
    <row r="2629" spans="1:7" x14ac:dyDescent="0.25">
      <c r="A2629" t="str">
        <f>"Aerosol Science: Technology and Applications"</f>
        <v>Aerosol Science: Technology and Applications</v>
      </c>
      <c r="B2629" t="str">
        <f>"9781119977926"</f>
        <v>9781119977926</v>
      </c>
      <c r="C2629">
        <v>116.3</v>
      </c>
      <c r="D2629" t="str">
        <f t="shared" si="177"/>
        <v>USD</v>
      </c>
      <c r="E2629" t="str">
        <f>"2014"</f>
        <v>2014</v>
      </c>
      <c r="F2629" t="str">
        <f>"Colbeck"</f>
        <v>Colbeck</v>
      </c>
      <c r="G2629" t="str">
        <f>"avanddanesh"</f>
        <v>avanddanesh</v>
      </c>
    </row>
    <row r="2630" spans="1:7" x14ac:dyDescent="0.25">
      <c r="A2630" t="str">
        <f>"Age of Ecology"</f>
        <v>Age of Ecology</v>
      </c>
      <c r="B2630" t="str">
        <f>"9780745662169"</f>
        <v>9780745662169</v>
      </c>
      <c r="C2630">
        <v>18.7</v>
      </c>
      <c r="D2630" t="str">
        <f t="shared" si="177"/>
        <v>USD</v>
      </c>
      <c r="E2630" t="str">
        <f>"2014"</f>
        <v>2014</v>
      </c>
      <c r="F2630" t="str">
        <f>"Radkau"</f>
        <v>Radkau</v>
      </c>
      <c r="G2630" t="str">
        <f>"avanddanesh"</f>
        <v>avanddanesh</v>
      </c>
    </row>
    <row r="2631" spans="1:7" x14ac:dyDescent="0.25">
      <c r="A2631" t="str">
        <f>"Age of Ecology"</f>
        <v>Age of Ecology</v>
      </c>
      <c r="B2631" t="str">
        <f>"9780745662176"</f>
        <v>9780745662176</v>
      </c>
      <c r="C2631">
        <v>18</v>
      </c>
      <c r="D2631" t="str">
        <f t="shared" si="177"/>
        <v>USD</v>
      </c>
      <c r="E2631" t="str">
        <f>"2018"</f>
        <v>2018</v>
      </c>
      <c r="F2631" t="str">
        <f>"Radkau"</f>
        <v>Radkau</v>
      </c>
      <c r="G2631" t="str">
        <f>"avanddanesh"</f>
        <v>avanddanesh</v>
      </c>
    </row>
    <row r="2632" spans="1:7" x14ac:dyDescent="0.25">
      <c r="A2632" t="str">
        <f>"Agile Manufacturing : Globalised Customerized Green Products, HB"</f>
        <v>Agile Manufacturing : Globalised Customerized Green Products, HB</v>
      </c>
      <c r="B2632" t="str">
        <f>"9789381141588"</f>
        <v>9789381141588</v>
      </c>
      <c r="C2632">
        <v>23.24</v>
      </c>
      <c r="D2632" t="str">
        <f t="shared" si="177"/>
        <v>USD</v>
      </c>
      <c r="E2632" t="str">
        <f>"2012"</f>
        <v>2012</v>
      </c>
      <c r="F2632" t="str">
        <f>"Chowdiah"</f>
        <v>Chowdiah</v>
      </c>
      <c r="G2632" t="str">
        <f>"supply"</f>
        <v>supply</v>
      </c>
    </row>
    <row r="2633" spans="1:7" x14ac:dyDescent="0.25">
      <c r="A2633" t="str">
        <f>"Agricultural Development and Food Security in Developing Nations"</f>
        <v>Agricultural Development and Food Security in Developing Nations</v>
      </c>
      <c r="B2633" t="str">
        <f>"9781522509424"</f>
        <v>9781522509424</v>
      </c>
      <c r="C2633">
        <v>150</v>
      </c>
      <c r="D2633" t="str">
        <f t="shared" si="177"/>
        <v>USD</v>
      </c>
      <c r="E2633" t="str">
        <f>"2017"</f>
        <v>2017</v>
      </c>
      <c r="F2633" t="str">
        <f>"Wayne G. Ganpat"</f>
        <v>Wayne G. Ganpat</v>
      </c>
      <c r="G2633" t="str">
        <f>"arzinbooks"</f>
        <v>arzinbooks</v>
      </c>
    </row>
    <row r="2634" spans="1:7" x14ac:dyDescent="0.25">
      <c r="A2634" t="str">
        <f>"Agroecology: The Ecology of Sustainable Food Systems"</f>
        <v>Agroecology: The Ecology of Sustainable Food Systems</v>
      </c>
      <c r="B2634" t="str">
        <f>"9781439895610"</f>
        <v>9781439895610</v>
      </c>
      <c r="C2634">
        <v>42.5</v>
      </c>
      <c r="D2634" t="str">
        <f>"GBP"</f>
        <v>GBP</v>
      </c>
      <c r="E2634" t="str">
        <f>"2015"</f>
        <v>2015</v>
      </c>
      <c r="F2634" t="str">
        <f>"STEPHEN R. GLIESSMA"</f>
        <v>STEPHEN R. GLIESSMA</v>
      </c>
      <c r="G2634" t="str">
        <f>"AsarBartar"</f>
        <v>AsarBartar</v>
      </c>
    </row>
    <row r="2635" spans="1:7" x14ac:dyDescent="0.25">
      <c r="A2635" t="str">
        <f>"Agro-Environmental Sustainability: Volume 1: Managing Crop Health "</f>
        <v xml:space="preserve">Agro-Environmental Sustainability: Volume 1: Managing Crop Health </v>
      </c>
      <c r="B2635" t="str">
        <f>"9783319497235"</f>
        <v>9783319497235</v>
      </c>
      <c r="C2635">
        <v>134.99</v>
      </c>
      <c r="D2635" t="str">
        <f>"EUR"</f>
        <v>EUR</v>
      </c>
      <c r="E2635" t="str">
        <f>"2017"</f>
        <v>2017</v>
      </c>
      <c r="F2635" t="str">
        <f>"Singh"</f>
        <v>Singh</v>
      </c>
      <c r="G2635" t="str">
        <f>"negarestanabi"</f>
        <v>negarestanabi</v>
      </c>
    </row>
    <row r="2636" spans="1:7" x14ac:dyDescent="0.25">
      <c r="A2636" t="str">
        <f>"Agro-Environmental Sustainability: Volume 2: Managing Environmental Pollution"</f>
        <v>Agro-Environmental Sustainability: Volume 2: Managing Environmental Pollution</v>
      </c>
      <c r="B2636" t="str">
        <f>"9783319497266"</f>
        <v>9783319497266</v>
      </c>
      <c r="C2636">
        <v>107.99</v>
      </c>
      <c r="D2636" t="str">
        <f>"EUR"</f>
        <v>EUR</v>
      </c>
      <c r="E2636" t="str">
        <f>"2017"</f>
        <v>2017</v>
      </c>
      <c r="F2636" t="str">
        <f>"Singh"</f>
        <v>Singh</v>
      </c>
      <c r="G2636" t="str">
        <f>"negarestanabi"</f>
        <v>negarestanabi</v>
      </c>
    </row>
    <row r="2637" spans="1:7" x14ac:dyDescent="0.25">
      <c r="A2637" t="str">
        <f>"Air Dispersion Modeling: Foundations and Applications"</f>
        <v>Air Dispersion Modeling: Foundations and Applications</v>
      </c>
      <c r="B2637" t="str">
        <f>"9781118078594"</f>
        <v>9781118078594</v>
      </c>
      <c r="C2637">
        <v>86.5</v>
      </c>
      <c r="D2637" t="str">
        <f>"USD"</f>
        <v>USD</v>
      </c>
      <c r="E2637" t="str">
        <f>"2013"</f>
        <v>2013</v>
      </c>
      <c r="F2637" t="str">
        <f>"De Visscher"</f>
        <v>De Visscher</v>
      </c>
      <c r="G2637" t="str">
        <f>"avanddanesh"</f>
        <v>avanddanesh</v>
      </c>
    </row>
    <row r="2638" spans="1:7" x14ac:dyDescent="0.25">
      <c r="A2638" t="str">
        <f>"Air Pollution and Control"</f>
        <v>Air Pollution and Control</v>
      </c>
      <c r="B2638" t="str">
        <f>"9789811071843"</f>
        <v>9789811071843</v>
      </c>
      <c r="C2638">
        <v>103.49</v>
      </c>
      <c r="D2638" t="str">
        <f>"EUR"</f>
        <v>EUR</v>
      </c>
      <c r="E2638" t="str">
        <f>"2018"</f>
        <v>2018</v>
      </c>
      <c r="F2638" t="str">
        <f>"Sharma"</f>
        <v>Sharma</v>
      </c>
      <c r="G2638" t="str">
        <f>"negarestanabi"</f>
        <v>negarestanabi</v>
      </c>
    </row>
    <row r="2639" spans="1:7" x14ac:dyDescent="0.25">
      <c r="A2639" t="str">
        <f>"Air Pollution Impacts on Plants in East Asia"</f>
        <v>Air Pollution Impacts on Plants in East Asia</v>
      </c>
      <c r="B2639" t="str">
        <f>"9784431564362"</f>
        <v>9784431564362</v>
      </c>
      <c r="C2639">
        <v>116.99</v>
      </c>
      <c r="D2639" t="str">
        <f>"EUR"</f>
        <v>EUR</v>
      </c>
      <c r="E2639" t="str">
        <f>"2017"</f>
        <v>2017</v>
      </c>
      <c r="F2639" t="str">
        <f>"Izuta"</f>
        <v>Izuta</v>
      </c>
      <c r="G2639" t="str">
        <f>"negarestanabi"</f>
        <v>negarestanabi</v>
      </c>
    </row>
    <row r="2640" spans="1:7" x14ac:dyDescent="0.25">
      <c r="A2640" t="str">
        <f>"Air Pollution in Eastern Asia: An Integrated Perspective"</f>
        <v>Air Pollution in Eastern Asia: An Integrated Perspective</v>
      </c>
      <c r="B2640" t="str">
        <f>"9783319594880"</f>
        <v>9783319594880</v>
      </c>
      <c r="C2640">
        <v>161.99</v>
      </c>
      <c r="D2640" t="str">
        <f>"EUR"</f>
        <v>EUR</v>
      </c>
      <c r="E2640" t="str">
        <f>"2017"</f>
        <v>2017</v>
      </c>
      <c r="F2640" t="str">
        <f>"Bouarar"</f>
        <v>Bouarar</v>
      </c>
      <c r="G2640" t="str">
        <f>"negarestanabi"</f>
        <v>negarestanabi</v>
      </c>
    </row>
    <row r="2641" spans="1:7" x14ac:dyDescent="0.25">
      <c r="A2641" t="str">
        <f>"Air Pollution XV, HB"</f>
        <v>Air Pollution XV, HB</v>
      </c>
      <c r="B2641" t="str">
        <f>"9781845640675"</f>
        <v>9781845640675</v>
      </c>
      <c r="C2641">
        <v>156.80000000000001</v>
      </c>
      <c r="D2641" t="str">
        <f>"GBP"</f>
        <v>GBP</v>
      </c>
      <c r="E2641" t="str">
        <f>"2007"</f>
        <v>2007</v>
      </c>
      <c r="F2641" t="str">
        <f>"Brebbia"</f>
        <v>Brebbia</v>
      </c>
      <c r="G2641" t="str">
        <f>"supply"</f>
        <v>supply</v>
      </c>
    </row>
    <row r="2642" spans="1:7" x14ac:dyDescent="0.25">
      <c r="A2642" t="str">
        <f>"AIR POLLUTION XVI, HB"</f>
        <v>AIR POLLUTION XVI, HB</v>
      </c>
      <c r="B2642" t="str">
        <f>"9781845641276"</f>
        <v>9781845641276</v>
      </c>
      <c r="C2642">
        <v>177.8</v>
      </c>
      <c r="D2642" t="str">
        <f>"GBP"</f>
        <v>GBP</v>
      </c>
      <c r="E2642" t="str">
        <f>"2008"</f>
        <v>2008</v>
      </c>
      <c r="F2642" t="str">
        <f>"Brebbia"</f>
        <v>Brebbia</v>
      </c>
      <c r="G2642" t="str">
        <f>"supply"</f>
        <v>supply</v>
      </c>
    </row>
    <row r="2643" spans="1:7" x14ac:dyDescent="0.25">
      <c r="A2643" t="str">
        <f>"AIR POLLUTION XVII, HB"</f>
        <v>AIR POLLUTION XVII, HB</v>
      </c>
      <c r="B2643" t="str">
        <f>"9781845641955"</f>
        <v>9781845641955</v>
      </c>
      <c r="C2643">
        <v>146.30000000000001</v>
      </c>
      <c r="D2643" t="str">
        <f>"GBP"</f>
        <v>GBP</v>
      </c>
      <c r="E2643" t="str">
        <f>"2009"</f>
        <v>2009</v>
      </c>
      <c r="F2643" t="str">
        <f>"Brebbia"</f>
        <v>Brebbia</v>
      </c>
      <c r="G2643" t="str">
        <f>"supply"</f>
        <v>supply</v>
      </c>
    </row>
    <row r="2644" spans="1:7" x14ac:dyDescent="0.25">
      <c r="A2644" t="str">
        <f>"AIR POLLUTION XVIII, HB"</f>
        <v>AIR POLLUTION XVIII, HB</v>
      </c>
      <c r="B2644" t="str">
        <f>"9781845644505"</f>
        <v>9781845644505</v>
      </c>
      <c r="C2644">
        <v>123.2</v>
      </c>
      <c r="D2644" t="str">
        <f>"GBP"</f>
        <v>GBP</v>
      </c>
      <c r="E2644" t="str">
        <f>"2010"</f>
        <v>2010</v>
      </c>
      <c r="F2644" t="str">
        <f>"Brebbia"</f>
        <v>Brebbia</v>
      </c>
      <c r="G2644" t="str">
        <f>"supply"</f>
        <v>supply</v>
      </c>
    </row>
    <row r="2645" spans="1:7" x14ac:dyDescent="0.25">
      <c r="A2645" t="str">
        <f>"AIR POLLUTION, HB"</f>
        <v>AIR POLLUTION, HB</v>
      </c>
      <c r="B2645" t="str">
        <f>"9781926686608"</f>
        <v>9781926686608</v>
      </c>
      <c r="C2645">
        <v>93.1</v>
      </c>
      <c r="D2645" t="str">
        <f>"USD"</f>
        <v>USD</v>
      </c>
      <c r="E2645" t="str">
        <f>"2010"</f>
        <v>2010</v>
      </c>
      <c r="F2645" t="str">
        <f>"Townsend"</f>
        <v>Townsend</v>
      </c>
      <c r="G2645" t="str">
        <f>"supply"</f>
        <v>supply</v>
      </c>
    </row>
    <row r="2646" spans="1:7" x14ac:dyDescent="0.25">
      <c r="A2646" t="str">
        <f>"Airborne Occupational Hazards in Sewer Systems"</f>
        <v>Airborne Occupational Hazards in Sewer Systems</v>
      </c>
      <c r="B2646" t="str">
        <f>"9781498757874"</f>
        <v>9781498757874</v>
      </c>
      <c r="C2646">
        <v>80.099999999999994</v>
      </c>
      <c r="D2646" t="str">
        <f>"GBP"</f>
        <v>GBP</v>
      </c>
      <c r="E2646" t="str">
        <f>"2017"</f>
        <v>2017</v>
      </c>
      <c r="F2646" t="str">
        <f>"Amy ForsgrenÂ Kristi"</f>
        <v>Amy ForsgrenÂ Kristi</v>
      </c>
      <c r="G2646" t="str">
        <f>"AsarBartar"</f>
        <v>AsarBartar</v>
      </c>
    </row>
    <row r="2647" spans="1:7" x14ac:dyDescent="0.25">
      <c r="A2647" t="str">
        <f>"Airborne Particulate Matter: Sources, Atmospheric Processes and Health"</f>
        <v>Airborne Particulate Matter: Sources, Atmospheric Processes and Health</v>
      </c>
      <c r="B2647" t="str">
        <f>"9781782624912"</f>
        <v>9781782624912</v>
      </c>
      <c r="C2647">
        <v>43.6</v>
      </c>
      <c r="D2647" t="str">
        <f>"GBP"</f>
        <v>GBP</v>
      </c>
      <c r="E2647" t="str">
        <f>"2016"</f>
        <v>2016</v>
      </c>
      <c r="F2647" t="str">
        <f>"R. M. Harrison andÂ R"</f>
        <v>R. M. Harrison andÂ R</v>
      </c>
      <c r="G2647" t="str">
        <f>"arzinbooks"</f>
        <v>arzinbooks</v>
      </c>
    </row>
    <row r="2648" spans="1:7" x14ac:dyDescent="0.25">
      <c r="A2648" t="str">
        <f>"Algal Biofuels: Recent Advances and Future Prospects"</f>
        <v>Algal Biofuels: Recent Advances and Future Prospects</v>
      </c>
      <c r="B2648" t="str">
        <f>"9783319510095"</f>
        <v>9783319510095</v>
      </c>
      <c r="C2648">
        <v>152.99</v>
      </c>
      <c r="D2648" t="str">
        <f>"EUR"</f>
        <v>EUR</v>
      </c>
      <c r="E2648" t="str">
        <f>"2017"</f>
        <v>2017</v>
      </c>
      <c r="F2648" t="str">
        <f>"Gupta"</f>
        <v>Gupta</v>
      </c>
      <c r="G2648" t="str">
        <f>"negarestanabi"</f>
        <v>negarestanabi</v>
      </c>
    </row>
    <row r="2649" spans="1:7" x14ac:dyDescent="0.25">
      <c r="A2649" t="str">
        <f>"ALGAL BIOTECHNOLOGY AND ENVIRONMENT, HB"</f>
        <v>ALGAL BIOTECHNOLOGY AND ENVIRONMENT, HB</v>
      </c>
      <c r="B2649" t="str">
        <f>"9789381141717"</f>
        <v>9789381141717</v>
      </c>
      <c r="C2649">
        <v>16.8</v>
      </c>
      <c r="D2649" t="str">
        <f>"USD"</f>
        <v>USD</v>
      </c>
      <c r="E2649" t="str">
        <f>"2012"</f>
        <v>2012</v>
      </c>
      <c r="F2649" t="str">
        <f>"Sahoo"</f>
        <v>Sahoo</v>
      </c>
      <c r="G2649" t="str">
        <f>"supply"</f>
        <v>supply</v>
      </c>
    </row>
    <row r="2650" spans="1:7" x14ac:dyDescent="0.25">
      <c r="A2650" t="str">
        <f>"Alternative Ecological Risk Assessment: An Innovative Approach to Understanding Ecological Assessments for Contaminated Sites"</f>
        <v>Alternative Ecological Risk Assessment: An Innovative Approach to Understanding Ecological Assessments for Contaminated Sites</v>
      </c>
      <c r="B2650" t="str">
        <f>"9780470673041"</f>
        <v>9780470673041</v>
      </c>
      <c r="C2650">
        <v>42.3</v>
      </c>
      <c r="D2650" t="str">
        <f>"USD"</f>
        <v>USD</v>
      </c>
      <c r="E2650" t="str">
        <f>"2013"</f>
        <v>2013</v>
      </c>
      <c r="F2650" t="str">
        <f>"Tannenbaum"</f>
        <v>Tannenbaum</v>
      </c>
      <c r="G2650" t="str">
        <f>"avanddanesh"</f>
        <v>avanddanesh</v>
      </c>
    </row>
    <row r="2651" spans="1:7" x14ac:dyDescent="0.25">
      <c r="A2651" t="str">
        <f>"An Introduction to Climate Change Economics and Policy (Routledge Textbooks in Environmental and Agricultural Economics)"</f>
        <v>An Introduction to Climate Change Economics and Policy (Routledge Textbooks in Environmental and Agricultural Economics)</v>
      </c>
      <c r="B2651" t="str">
        <f>"9781138782228"</f>
        <v>9781138782228</v>
      </c>
      <c r="C2651">
        <v>35.99</v>
      </c>
      <c r="D2651" t="str">
        <f>"GBP"</f>
        <v>GBP</v>
      </c>
      <c r="E2651" t="str">
        <f>"2016"</f>
        <v>2016</v>
      </c>
      <c r="F2651" t="str">
        <f>"FITZROY"</f>
        <v>FITZROY</v>
      </c>
      <c r="G2651" t="str">
        <f>"sal"</f>
        <v>sal</v>
      </c>
    </row>
    <row r="2652" spans="1:7" x14ac:dyDescent="0.25">
      <c r="A2652" t="str">
        <f>"Analysis of Biomarker Data: A Practical Guide"</f>
        <v>Analysis of Biomarker Data: A Practical Guide</v>
      </c>
      <c r="B2652" t="str">
        <f>"9781118027554"</f>
        <v>9781118027554</v>
      </c>
      <c r="C2652">
        <v>103.2</v>
      </c>
      <c r="D2652" t="str">
        <f t="shared" ref="D2652:D2657" si="178">"USD"</f>
        <v>USD</v>
      </c>
      <c r="E2652" t="str">
        <f>"2015"</f>
        <v>2015</v>
      </c>
      <c r="F2652" t="str">
        <f>"Looney"</f>
        <v>Looney</v>
      </c>
      <c r="G2652" t="str">
        <f>"avanddanesh"</f>
        <v>avanddanesh</v>
      </c>
    </row>
    <row r="2653" spans="1:7" x14ac:dyDescent="0.25">
      <c r="A2653" t="str">
        <f>"Analysis of Tidal Stream Power"</f>
        <v>Analysis of Tidal Stream Power</v>
      </c>
      <c r="B2653" t="str">
        <f>"9780470724514"</f>
        <v>9780470724514</v>
      </c>
      <c r="C2653">
        <v>104.96</v>
      </c>
      <c r="D2653" t="str">
        <f t="shared" si="178"/>
        <v>USD</v>
      </c>
      <c r="E2653" t="str">
        <f>"2009"</f>
        <v>2009</v>
      </c>
      <c r="F2653" t="str">
        <f>"Hardisty"</f>
        <v>Hardisty</v>
      </c>
      <c r="G2653" t="str">
        <f>"safirketab"</f>
        <v>safirketab</v>
      </c>
    </row>
    <row r="2654" spans="1:7" x14ac:dyDescent="0.25">
      <c r="A2654" t="str">
        <f>"Analytical Modeling of Solute Transport in Groundwater: Using Models to Understand the Effect of Natural Processes on Contaminant Fate and Transport"</f>
        <v>Analytical Modeling of Solute Transport in Groundwater: Using Models to Understand the Effect of Natural Processes on Contaminant Fate and Transport</v>
      </c>
      <c r="B2654" t="str">
        <f>"9780470242346"</f>
        <v>9780470242346</v>
      </c>
      <c r="C2654">
        <v>90</v>
      </c>
      <c r="D2654" t="str">
        <f t="shared" si="178"/>
        <v>USD</v>
      </c>
      <c r="E2654" t="str">
        <f>"2017"</f>
        <v>2017</v>
      </c>
      <c r="F2654" t="str">
        <f>"Goltz"</f>
        <v>Goltz</v>
      </c>
      <c r="G2654" t="str">
        <f>"avanddanesh"</f>
        <v>avanddanesh</v>
      </c>
    </row>
    <row r="2655" spans="1:7" x14ac:dyDescent="0.25">
      <c r="A2655" t="str">
        <f>"Animal Signaling and Function: An Integrative Approach"</f>
        <v>Animal Signaling and Function: An Integrative Approach</v>
      </c>
      <c r="B2655" t="str">
        <f>"9780470546000"</f>
        <v>9780470546000</v>
      </c>
      <c r="C2655">
        <v>100</v>
      </c>
      <c r="D2655" t="str">
        <f t="shared" si="178"/>
        <v>USD</v>
      </c>
      <c r="E2655" t="str">
        <f>"2015"</f>
        <v>2015</v>
      </c>
      <c r="F2655" t="str">
        <f>"Irschick"</f>
        <v>Irschick</v>
      </c>
      <c r="G2655" t="str">
        <f>"avanddanesh"</f>
        <v>avanddanesh</v>
      </c>
    </row>
    <row r="2656" spans="1:7" x14ac:dyDescent="0.25">
      <c r="A2656" t="str">
        <f>"Antarctic Ecosystems: An Extreme Environment in a Changing World"</f>
        <v>Antarctic Ecosystems: An Extreme Environment in a Changing World</v>
      </c>
      <c r="B2656" t="str">
        <f>"9781405198400"</f>
        <v>9781405198400</v>
      </c>
      <c r="C2656">
        <v>84</v>
      </c>
      <c r="D2656" t="str">
        <f t="shared" si="178"/>
        <v>USD</v>
      </c>
      <c r="E2656" t="str">
        <f>"2012"</f>
        <v>2012</v>
      </c>
      <c r="F2656" t="str">
        <f>"Rogers"</f>
        <v>Rogers</v>
      </c>
      <c r="G2656" t="str">
        <f>"avanddanesh"</f>
        <v>avanddanesh</v>
      </c>
    </row>
    <row r="2657" spans="1:7" x14ac:dyDescent="0.25">
      <c r="A2657" t="str">
        <f>"Antelope Conservation: From Diagnosis to Action"</f>
        <v>Antelope Conservation: From Diagnosis to Action</v>
      </c>
      <c r="B2657" t="str">
        <f>"9781118409633"</f>
        <v>9781118409633</v>
      </c>
      <c r="C2657">
        <v>55.3</v>
      </c>
      <c r="D2657" t="str">
        <f t="shared" si="178"/>
        <v>USD</v>
      </c>
      <c r="E2657" t="str">
        <f>"2016"</f>
        <v>2016</v>
      </c>
      <c r="F2657" t="str">
        <f>"Bro-Jorgensen"</f>
        <v>Bro-Jorgensen</v>
      </c>
      <c r="G2657" t="str">
        <f>"avanddanesh"</f>
        <v>avanddanesh</v>
      </c>
    </row>
    <row r="2658" spans="1:7" x14ac:dyDescent="0.25">
      <c r="A2658" t="str">
        <f>"Anthropogenic Soils"</f>
        <v>Anthropogenic Soils</v>
      </c>
      <c r="B2658" t="str">
        <f>"9783319543307"</f>
        <v>9783319543307</v>
      </c>
      <c r="C2658">
        <v>98.99</v>
      </c>
      <c r="D2658" t="str">
        <f>"EUR"</f>
        <v>EUR</v>
      </c>
      <c r="E2658" t="str">
        <f>"2017"</f>
        <v>2017</v>
      </c>
      <c r="F2658" t="str">
        <f>"Howard"</f>
        <v>Howard</v>
      </c>
      <c r="G2658" t="str">
        <f>"negarestanabi"</f>
        <v>negarestanabi</v>
      </c>
    </row>
    <row r="2659" spans="1:7" x14ac:dyDescent="0.25">
      <c r="A2659" t="str">
        <f>"Antimicrobial Resistance in the Environment"</f>
        <v>Antimicrobial Resistance in the Environment</v>
      </c>
      <c r="B2659" t="str">
        <f>"9780470905425"</f>
        <v>9780470905425</v>
      </c>
      <c r="C2659">
        <v>93</v>
      </c>
      <c r="D2659" t="str">
        <f>"USD"</f>
        <v>USD</v>
      </c>
      <c r="E2659" t="str">
        <f>"2012"</f>
        <v>2012</v>
      </c>
      <c r="F2659" t="str">
        <f>"Keen"</f>
        <v>Keen</v>
      </c>
      <c r="G2659" t="str">
        <f>"avanddanesh"</f>
        <v>avanddanesh</v>
      </c>
    </row>
    <row r="2660" spans="1:7" x14ac:dyDescent="0.25">
      <c r="A2660" t="str">
        <f>"Applicable Atmospheric Dynamics : Techniques for the Exploration of Atmospheric Dynamics"</f>
        <v>Applicable Atmospheric Dynamics : Techniques for the Exploration of Atmospheric Dynamics</v>
      </c>
      <c r="B2660" t="str">
        <f>"9789814335690"</f>
        <v>9789814335690</v>
      </c>
      <c r="C2660">
        <v>111.35</v>
      </c>
      <c r="D2660" t="str">
        <f>"GBP"</f>
        <v>GBP</v>
      </c>
      <c r="E2660" t="str">
        <f>"2015"</f>
        <v>2015</v>
      </c>
      <c r="F2660" t="str">
        <f>"Istvan Szunyogh"</f>
        <v>Istvan Szunyogh</v>
      </c>
      <c r="G2660" t="str">
        <f>"AsarBartar"</f>
        <v>AsarBartar</v>
      </c>
    </row>
    <row r="2661" spans="1:7" x14ac:dyDescent="0.25">
      <c r="A2661" t="str">
        <f>"Application of IC-MS and IC-ICP-MS in Environmental Research"</f>
        <v>Application of IC-MS and IC-ICP-MS in Environmental Research</v>
      </c>
      <c r="B2661" t="str">
        <f>"9781118862001"</f>
        <v>9781118862001</v>
      </c>
      <c r="C2661">
        <v>106.3</v>
      </c>
      <c r="D2661" t="str">
        <f>"USD"</f>
        <v>USD</v>
      </c>
      <c r="E2661" t="str">
        <f>"2016"</f>
        <v>2016</v>
      </c>
      <c r="F2661" t="str">
        <f>"Michalski"</f>
        <v>Michalski</v>
      </c>
      <c r="G2661" t="str">
        <f>"avanddanesh"</f>
        <v>avanddanesh</v>
      </c>
    </row>
    <row r="2662" spans="1:7" x14ac:dyDescent="0.25">
      <c r="A2662" t="str">
        <f>"Application of Nanotechnology in Membranes for Water Treatment (Sustainable Water Developments - Resources, Management, Treatment, Efficiency and Reuse)"</f>
        <v>Application of Nanotechnology in Membranes for Water Treatment (Sustainable Water Developments - Resources, Management, Treatment, Efficiency and Reuse)</v>
      </c>
      <c r="B2662" t="str">
        <f>"9781138896581"</f>
        <v>9781138896581</v>
      </c>
      <c r="C2662">
        <v>112.5</v>
      </c>
      <c r="D2662" t="str">
        <f>"GBP"</f>
        <v>GBP</v>
      </c>
      <c r="E2662" t="str">
        <f>"2017"</f>
        <v>2017</v>
      </c>
      <c r="F2662" t="str">
        <f>"Figoli"</f>
        <v>Figoli</v>
      </c>
      <c r="G2662" t="str">
        <f>"sal"</f>
        <v>sal</v>
      </c>
    </row>
    <row r="2663" spans="1:7" x14ac:dyDescent="0.25">
      <c r="A2663" t="str">
        <f>"Applied Drought Modeling, Prediction, And Mitigati"</f>
        <v>Applied Drought Modeling, Prediction, And Mitigati</v>
      </c>
      <c r="B2663" t="str">
        <f>"9780128021767"</f>
        <v>9780128021767</v>
      </c>
      <c r="C2663">
        <v>117</v>
      </c>
      <c r="D2663" t="str">
        <f>"USD"</f>
        <v>USD</v>
      </c>
      <c r="E2663" t="str">
        <f>"2015"</f>
        <v>2015</v>
      </c>
      <c r="F2663" t="str">
        <f>"N/A*"</f>
        <v>N/A*</v>
      </c>
      <c r="G2663" t="str">
        <f>"dehkadehketab"</f>
        <v>dehkadehketab</v>
      </c>
    </row>
    <row r="2664" spans="1:7" x14ac:dyDescent="0.25">
      <c r="A2664" t="str">
        <f>"APPLIED ECOLOGY, HB"</f>
        <v>APPLIED ECOLOGY, HB</v>
      </c>
      <c r="B2664" t="str">
        <f>"9789380428161"</f>
        <v>9789380428161</v>
      </c>
      <c r="C2664">
        <v>24.57</v>
      </c>
      <c r="D2664" t="str">
        <f>"USD"</f>
        <v>USD</v>
      </c>
      <c r="E2664" t="str">
        <f>"2011"</f>
        <v>2011</v>
      </c>
      <c r="F2664" t="str">
        <f>"Sakhare"</f>
        <v>Sakhare</v>
      </c>
      <c r="G2664" t="str">
        <f>"supply"</f>
        <v>supply</v>
      </c>
    </row>
    <row r="2665" spans="1:7" x14ac:dyDescent="0.25">
      <c r="A2665" t="str">
        <f>"Applied Environmental Materials Science for Sustainability"</f>
        <v>Applied Environmental Materials Science for Sustainability</v>
      </c>
      <c r="B2665" t="str">
        <f>"9781522519713"</f>
        <v>9781522519713</v>
      </c>
      <c r="C2665">
        <v>153.80000000000001</v>
      </c>
      <c r="D2665" t="str">
        <f>"USD"</f>
        <v>USD</v>
      </c>
      <c r="E2665" t="str">
        <f>"2017"</f>
        <v>2017</v>
      </c>
      <c r="F2665" t="str">
        <f>"Takaomi Kobayashi"</f>
        <v>Takaomi Kobayashi</v>
      </c>
      <c r="G2665" t="str">
        <f>"arzinbooks"</f>
        <v>arzinbooks</v>
      </c>
    </row>
    <row r="2666" spans="1:7" x14ac:dyDescent="0.25">
      <c r="A2666" t="str">
        <f>"Applied Geoinformatics for Sustainable Integrated Land and Water Resources Management (ILWRM) in the Brahmaputra River basin: Results from the EC-project BRAHMATWINN"</f>
        <v>Applied Geoinformatics for Sustainable Integrated Land and Water Resources Management (ILWRM) in the Brahmaputra River basin: Results from the EC-project BRAHMATWINN</v>
      </c>
      <c r="B2666" t="str">
        <f>"9788132219668"</f>
        <v>9788132219668</v>
      </c>
      <c r="C2666">
        <v>107.99</v>
      </c>
      <c r="D2666" t="str">
        <f>"EUR"</f>
        <v>EUR</v>
      </c>
      <c r="E2666" t="str">
        <f>"2015"</f>
        <v>2015</v>
      </c>
      <c r="F2666" t="str">
        <f>"Sharma"</f>
        <v>Sharma</v>
      </c>
      <c r="G2666" t="str">
        <f>"negarestanabi"</f>
        <v>negarestanabi</v>
      </c>
    </row>
    <row r="2667" spans="1:7" x14ac:dyDescent="0.25">
      <c r="A2667" t="str">
        <f>"Applied Groundwater Modeling, Simulation of Flow and Advective Transport"</f>
        <v>Applied Groundwater Modeling, Simulation of Flow and Advective Transport</v>
      </c>
      <c r="B2667" t="str">
        <f>"9781483299785"</f>
        <v>9781483299785</v>
      </c>
      <c r="C2667">
        <v>65.650000000000006</v>
      </c>
      <c r="D2667" t="str">
        <f>"USD"</f>
        <v>USD</v>
      </c>
      <c r="E2667" t="str">
        <f>"2015"</f>
        <v>2015</v>
      </c>
      <c r="F2667" t="str">
        <f>"Anderson and Woessne"</f>
        <v>Anderson and Woessne</v>
      </c>
      <c r="G2667" t="str">
        <f>"arang"</f>
        <v>arang</v>
      </c>
    </row>
    <row r="2668" spans="1:7" x14ac:dyDescent="0.25">
      <c r="A2668" t="str">
        <f>"Applied Groundwater Modeling, Simulation of Flow and Advective Transport, 2nd Edition"</f>
        <v>Applied Groundwater Modeling, Simulation of Flow and Advective Transport, 2nd Edition</v>
      </c>
      <c r="B2668" t="str">
        <f>"9780120581030"</f>
        <v>9780120581030</v>
      </c>
      <c r="C2668">
        <v>89.95</v>
      </c>
      <c r="D2668" t="str">
        <f>"USD"</f>
        <v>USD</v>
      </c>
      <c r="E2668" t="str">
        <f>"2015"</f>
        <v>2015</v>
      </c>
      <c r="F2668" t="str">
        <f>"Anderson et al"</f>
        <v>Anderson et al</v>
      </c>
      <c r="G2668" t="str">
        <f>"arang"</f>
        <v>arang</v>
      </c>
    </row>
    <row r="2669" spans="1:7" x14ac:dyDescent="0.25">
      <c r="A2669" t="s">
        <v>12</v>
      </c>
      <c r="B2669" t="str">
        <f>"9788185589633"</f>
        <v>9788185589633</v>
      </c>
      <c r="C2669">
        <v>14</v>
      </c>
      <c r="D2669" t="str">
        <f>"USD"</f>
        <v>USD</v>
      </c>
      <c r="E2669" t="str">
        <f>"2009"</f>
        <v>2009</v>
      </c>
      <c r="F2669" t="str">
        <f>"Rakhecha"</f>
        <v>Rakhecha</v>
      </c>
      <c r="G2669" t="str">
        <f>"supply"</f>
        <v>supply</v>
      </c>
    </row>
    <row r="2670" spans="1:7" x14ac:dyDescent="0.25">
      <c r="A2670" t="str">
        <f>"Applied Studies in Climate Adaptation"</f>
        <v>Applied Studies in Climate Adaptation</v>
      </c>
      <c r="B2670" t="str">
        <f>"9781118845011"</f>
        <v>9781118845011</v>
      </c>
      <c r="C2670">
        <v>78.8</v>
      </c>
      <c r="D2670" t="str">
        <f>"USD"</f>
        <v>USD</v>
      </c>
      <c r="E2670" t="str">
        <f>"2014"</f>
        <v>2014</v>
      </c>
      <c r="F2670" t="str">
        <f>"Palutikof"</f>
        <v>Palutikof</v>
      </c>
      <c r="G2670" t="str">
        <f>"avanddanesh"</f>
        <v>avanddanesh</v>
      </c>
    </row>
    <row r="2671" spans="1:7" x14ac:dyDescent="0.25">
      <c r="A2671" t="str">
        <f>"Applying Graph Theory in Ecological Research"</f>
        <v>Applying Graph Theory in Ecological Research</v>
      </c>
      <c r="B2671" t="str">
        <f>"9781107460973"</f>
        <v>9781107460973</v>
      </c>
      <c r="C2671">
        <v>29.8</v>
      </c>
      <c r="D2671" t="str">
        <f>"GBP"</f>
        <v>GBP</v>
      </c>
      <c r="E2671" t="str">
        <f>"2017"</f>
        <v>2017</v>
      </c>
      <c r="F2671" t="str">
        <f>"Dale"</f>
        <v>Dale</v>
      </c>
      <c r="G2671" t="str">
        <f>"arzinbooks"</f>
        <v>arzinbooks</v>
      </c>
    </row>
    <row r="2672" spans="1:7" x14ac:dyDescent="0.25">
      <c r="A2672" t="str">
        <f>"Aquaculture Ecosystems: Adaptability and Sustainability"</f>
        <v>Aquaculture Ecosystems: Adaptability and Sustainability</v>
      </c>
      <c r="B2672" t="str">
        <f>"9781118778548"</f>
        <v>9781118778548</v>
      </c>
      <c r="C2672">
        <v>132</v>
      </c>
      <c r="D2672" t="str">
        <f>"USD"</f>
        <v>USD</v>
      </c>
      <c r="E2672" t="str">
        <f>"2015"</f>
        <v>2015</v>
      </c>
      <c r="F2672" t="str">
        <f>"Mustafa"</f>
        <v>Mustafa</v>
      </c>
      <c r="G2672" t="str">
        <f>"avanddanesh"</f>
        <v>avanddanesh</v>
      </c>
    </row>
    <row r="2673" spans="1:7" x14ac:dyDescent="0.25">
      <c r="A2673" t="str">
        <f>"Aquaculture Perspective of Multi-Use Sites in the Open Ocean: The Untapped Potential for Marine Resources in the Anthropocene"</f>
        <v>Aquaculture Perspective of Multi-Use Sites in the Open Ocean: The Untapped Potential for Marine Resources in the Anthropocene</v>
      </c>
      <c r="B2673" t="str">
        <f>"9783319511573"</f>
        <v>9783319511573</v>
      </c>
      <c r="C2673">
        <v>44.99</v>
      </c>
      <c r="D2673" t="str">
        <f>"EUR"</f>
        <v>EUR</v>
      </c>
      <c r="E2673" t="str">
        <f>"2017"</f>
        <v>2017</v>
      </c>
      <c r="F2673" t="str">
        <f>"Buck"</f>
        <v>Buck</v>
      </c>
      <c r="G2673" t="str">
        <f>"negarestanabi"</f>
        <v>negarestanabi</v>
      </c>
    </row>
    <row r="2674" spans="1:7" x14ac:dyDescent="0.25">
      <c r="A2674" t="str">
        <f>"AQUATIC ECOLOGY, HB"</f>
        <v>AQUATIC ECOLOGY, HB</v>
      </c>
      <c r="B2674" t="str">
        <f>"9788131305218"</f>
        <v>9788131305218</v>
      </c>
      <c r="C2674">
        <v>22.4</v>
      </c>
      <c r="D2674" t="str">
        <f>"USD"</f>
        <v>USD</v>
      </c>
      <c r="E2674" t="str">
        <f>"2009"</f>
        <v>2009</v>
      </c>
      <c r="F2674" t="str">
        <f>"Mishra"</f>
        <v>Mishra</v>
      </c>
      <c r="G2674" t="str">
        <f>"supply"</f>
        <v>supply</v>
      </c>
    </row>
    <row r="2675" spans="1:7" x14ac:dyDescent="0.25">
      <c r="A2675" t="str">
        <f>"AQUATIC ECOSYSTEM AND ITS MANAGEMENT, HB"</f>
        <v>AQUATIC ECOSYSTEM AND ITS MANAGEMENT, HB</v>
      </c>
      <c r="B2675" t="str">
        <f>"9788170356219"</f>
        <v>9788170356219</v>
      </c>
      <c r="C2675">
        <v>30.87</v>
      </c>
      <c r="D2675" t="str">
        <f>"USD"</f>
        <v>USD</v>
      </c>
      <c r="E2675" t="str">
        <f>"2010"</f>
        <v>2010</v>
      </c>
      <c r="F2675" t="str">
        <f>"Vijaykumar"</f>
        <v>Vijaykumar</v>
      </c>
      <c r="G2675" t="str">
        <f>"supply"</f>
        <v>supply</v>
      </c>
    </row>
    <row r="2676" spans="1:7" x14ac:dyDescent="0.25">
      <c r="A2676" t="str">
        <f>"Aquatic Pollution: An Introductory Text,4e"</f>
        <v>Aquatic Pollution: An Introductory Text,4e</v>
      </c>
      <c r="B2676" t="str">
        <f>"9781119304500"</f>
        <v>9781119304500</v>
      </c>
      <c r="C2676">
        <v>81</v>
      </c>
      <c r="D2676" t="str">
        <f>"USD"</f>
        <v>USD</v>
      </c>
      <c r="E2676" t="str">
        <f>"2017"</f>
        <v>2017</v>
      </c>
      <c r="F2676" t="str">
        <f>"Laws"</f>
        <v>Laws</v>
      </c>
      <c r="G2676" t="str">
        <f>"avanddanesh"</f>
        <v>avanddanesh</v>
      </c>
    </row>
    <row r="2677" spans="1:7" x14ac:dyDescent="0.25">
      <c r="A2677" t="str">
        <f>"Arsenic Contamination in the Environment: The Issues and Solutions"</f>
        <v>Arsenic Contamination in the Environment: The Issues and Solutions</v>
      </c>
      <c r="B2677" t="str">
        <f>"9783319543543"</f>
        <v>9783319543543</v>
      </c>
      <c r="C2677">
        <v>89.99</v>
      </c>
      <c r="D2677" t="str">
        <f>"EUR"</f>
        <v>EUR</v>
      </c>
      <c r="E2677" t="str">
        <f>"2017"</f>
        <v>2017</v>
      </c>
      <c r="F2677" t="str">
        <f>"Gupta"</f>
        <v>Gupta</v>
      </c>
      <c r="G2677" t="str">
        <f>"negarestanabi"</f>
        <v>negarestanabi</v>
      </c>
    </row>
    <row r="2678" spans="1:7" x14ac:dyDescent="0.25">
      <c r="A2678" t="str">
        <f>"Arsenic Contamination of Groundwater:Mechanism, Analysis, and Remediation"</f>
        <v>Arsenic Contamination of Groundwater:Mechanism, Analysis, and Remediation</v>
      </c>
      <c r="B2678" t="str">
        <f>"9780470144473"</f>
        <v>9780470144473</v>
      </c>
      <c r="C2678">
        <v>96</v>
      </c>
      <c r="D2678" t="str">
        <f>"USD"</f>
        <v>USD</v>
      </c>
      <c r="E2678" t="str">
        <f>"2008"</f>
        <v>2008</v>
      </c>
      <c r="F2678" t="str">
        <f>"Ahuja"</f>
        <v>Ahuja</v>
      </c>
      <c r="G2678" t="str">
        <f>"safirketab"</f>
        <v>safirketab</v>
      </c>
    </row>
    <row r="2679" spans="1:7" x14ac:dyDescent="0.25">
      <c r="A2679" t="str">
        <f>"Arsenic in Groundwater: Poisoning and Risk Assessment"</f>
        <v>Arsenic in Groundwater: Poisoning and Risk Assessment</v>
      </c>
      <c r="B2679" t="str">
        <f>"9781439839270"</f>
        <v>9781439839270</v>
      </c>
      <c r="C2679">
        <v>90</v>
      </c>
      <c r="D2679" t="str">
        <f>"GBP"</f>
        <v>GBP</v>
      </c>
      <c r="E2679" t="str">
        <f>"2018"</f>
        <v>2018</v>
      </c>
      <c r="F2679" t="str">
        <f>"Hassan"</f>
        <v>Hassan</v>
      </c>
      <c r="G2679" t="str">
        <f>"sal"</f>
        <v>sal</v>
      </c>
    </row>
    <row r="2680" spans="1:7" x14ac:dyDescent="0.25">
      <c r="A2680" t="str">
        <f>"Arsenic: Exposure Sources, Health Risks, and Mechanisms of Toxicity"</f>
        <v>Arsenic: Exposure Sources, Health Risks, and Mechanisms of Toxicity</v>
      </c>
      <c r="B2680" t="str">
        <f>"9781118511145"</f>
        <v>9781118511145</v>
      </c>
      <c r="C2680">
        <v>156</v>
      </c>
      <c r="D2680" t="str">
        <f>"USD"</f>
        <v>USD</v>
      </c>
      <c r="E2680" t="str">
        <f>"2015"</f>
        <v>2015</v>
      </c>
      <c r="F2680" t="str">
        <f>"States"</f>
        <v>States</v>
      </c>
      <c r="G2680" t="str">
        <f>"avanddanesh"</f>
        <v>avanddanesh</v>
      </c>
    </row>
    <row r="2681" spans="1:7" x14ac:dyDescent="0.25">
      <c r="A2681" t="str">
        <f>"Aspects of Illegal. Unreported and Unregulated Fishing in the Southern Ocean"</f>
        <v>Aspects of Illegal. Unreported and Unregulated Fishing in the Southern Ocean</v>
      </c>
      <c r="B2681" t="str">
        <f>"9781402053382"</f>
        <v>9781402053382</v>
      </c>
      <c r="C2681">
        <v>72</v>
      </c>
      <c r="D2681" t="str">
        <f>"USD"</f>
        <v>USD</v>
      </c>
      <c r="E2681" t="str">
        <f>"2006"</f>
        <v>2006</v>
      </c>
      <c r="F2681" t="str">
        <f>"Reviews"</f>
        <v>Reviews</v>
      </c>
      <c r="G2681" t="str">
        <f>"safirketab"</f>
        <v>safirketab</v>
      </c>
    </row>
    <row r="2682" spans="1:7" x14ac:dyDescent="0.25">
      <c r="A2682" t="str">
        <f>"Assessing and Managing Groundwater in Different Environments (IAH - Selected Papers on Hydrogeology)"</f>
        <v>Assessing and Managing Groundwater in Different Environments (IAH - Selected Papers on Hydrogeology)</v>
      </c>
      <c r="B2682" t="str">
        <f>"9781138001008"</f>
        <v>9781138001008</v>
      </c>
      <c r="C2682">
        <v>55.8</v>
      </c>
      <c r="D2682" t="str">
        <f>"GBP"</f>
        <v>GBP</v>
      </c>
      <c r="E2682" t="str">
        <f>"2013"</f>
        <v>2013</v>
      </c>
      <c r="F2682" t="str">
        <f>"Kornelius Riemann(E"</f>
        <v>Kornelius Riemann(E</v>
      </c>
      <c r="G2682" t="str">
        <f>"AsarBartar"</f>
        <v>AsarBartar</v>
      </c>
    </row>
    <row r="2683" spans="1:7" x14ac:dyDescent="0.25">
      <c r="A2683" t="str">
        <f>"Atlas of Crabs of the Persian Gulf"</f>
        <v>Atlas of Crabs of the Persian Gulf</v>
      </c>
      <c r="B2683" t="str">
        <f>"9783319493725"</f>
        <v>9783319493725</v>
      </c>
      <c r="C2683">
        <v>125.99</v>
      </c>
      <c r="D2683" t="str">
        <f>"EUR"</f>
        <v>EUR</v>
      </c>
      <c r="E2683" t="str">
        <f>"2017"</f>
        <v>2017</v>
      </c>
      <c r="F2683" t="str">
        <f>"Naderloo"</f>
        <v>Naderloo</v>
      </c>
      <c r="G2683" t="str">
        <f>"negarestanabi"</f>
        <v>negarestanabi</v>
      </c>
    </row>
    <row r="2684" spans="1:7" x14ac:dyDescent="0.25">
      <c r="A2684" t="str">
        <f>"Atmospheric Aerosols: Life Cycles and Effects on Air Quality and Climate"</f>
        <v>Atmospheric Aerosols: Life Cycles and Effects on Air Quality and Climate</v>
      </c>
      <c r="B2684" t="str">
        <f>"9783527336456"</f>
        <v>9783527336456</v>
      </c>
      <c r="C2684">
        <v>184.5</v>
      </c>
      <c r="D2684" t="str">
        <f>"USD"</f>
        <v>USD</v>
      </c>
      <c r="E2684" t="str">
        <f>"2017"</f>
        <v>2017</v>
      </c>
      <c r="F2684" t="str">
        <f>"Tomasi"</f>
        <v>Tomasi</v>
      </c>
      <c r="G2684" t="str">
        <f>"avanddanesh"</f>
        <v>avanddanesh</v>
      </c>
    </row>
    <row r="2685" spans="1:7" x14ac:dyDescent="0.25">
      <c r="A2685" t="str">
        <f>"Atmospheric Radiation"</f>
        <v>Atmospheric Radiation</v>
      </c>
      <c r="B2685" t="str">
        <f>"9783527410989"</f>
        <v>9783527410989</v>
      </c>
      <c r="C2685">
        <v>58.5</v>
      </c>
      <c r="D2685" t="str">
        <f>"USD"</f>
        <v>USD</v>
      </c>
      <c r="E2685" t="str">
        <f>"2014"</f>
        <v>2014</v>
      </c>
      <c r="F2685" t="str">
        <f>"Coakley Jr."</f>
        <v>Coakley Jr.</v>
      </c>
      <c r="G2685" t="str">
        <f>"avanddanesh"</f>
        <v>avanddanesh</v>
      </c>
    </row>
    <row r="2686" spans="1:7" x14ac:dyDescent="0.25">
      <c r="A2686" t="str">
        <f>"Atmospheric Science for Environmental Scientists"</f>
        <v>Atmospheric Science for Environmental Scientists</v>
      </c>
      <c r="B2686" t="str">
        <f>"9781405156905"</f>
        <v>9781405156905</v>
      </c>
      <c r="C2686">
        <v>50.4</v>
      </c>
      <c r="D2686" t="str">
        <f>"USD"</f>
        <v>USD</v>
      </c>
      <c r="E2686" t="str">
        <f>"2009"</f>
        <v>2009</v>
      </c>
      <c r="F2686" t="str">
        <f>"Hewitt"</f>
        <v>Hewitt</v>
      </c>
      <c r="G2686" t="str">
        <f>"safirketab"</f>
        <v>safirketab</v>
      </c>
    </row>
    <row r="2687" spans="1:7" x14ac:dyDescent="0.25">
      <c r="A2687" t="str">
        <f>"Autoecology and Ecophysiology of Woody Shrubs and Trees: Concepts and Applications"</f>
        <v>Autoecology and Ecophysiology of Woody Shrubs and Trees: Concepts and Applications</v>
      </c>
      <c r="B2687" t="str">
        <f>"9781119104445"</f>
        <v>9781119104445</v>
      </c>
      <c r="C2687">
        <v>93.5</v>
      </c>
      <c r="D2687" t="str">
        <f>"USD"</f>
        <v>USD</v>
      </c>
      <c r="E2687" t="str">
        <f>"2016"</f>
        <v>2016</v>
      </c>
      <c r="F2687" t="str">
        <f>"Maiti"</f>
        <v>Maiti</v>
      </c>
      <c r="G2687" t="str">
        <f>"avanddanesh"</f>
        <v>avanddanesh</v>
      </c>
    </row>
    <row r="2688" spans="1:7" x14ac:dyDescent="0.25">
      <c r="A2688" t="str">
        <f>"Autotrophic Nitrogen Removal from Low Concentrated Effluents: Study of System Configurations and Operational Features for Post-treatment of Anaerobic"</f>
        <v>Autotrophic Nitrogen Removal from Low Concentrated Effluents: Study of System Configurations and Operational Features for Post-treatment of Anaerobic</v>
      </c>
      <c r="B2688" t="str">
        <f>"9781138035911"</f>
        <v>9781138035911</v>
      </c>
      <c r="C2688">
        <v>35.1</v>
      </c>
      <c r="D2688" t="str">
        <f>"GBP"</f>
        <v>GBP</v>
      </c>
      <c r="E2688" t="str">
        <f>"2017"</f>
        <v>2017</v>
      </c>
      <c r="F2688" t="str">
        <f>"Javier Adri?n S?nch"</f>
        <v>Javier Adri?n S?nch</v>
      </c>
      <c r="G2688" t="str">
        <f>"AsarBartar"</f>
        <v>AsarBartar</v>
      </c>
    </row>
    <row r="2689" spans="1:7" x14ac:dyDescent="0.25">
      <c r="A2689" t="str">
        <f>"BACTERICIDAL AND OLIGODYNAMIC ACTION OF SILVER AND COPPER IN HYGIENE, MEDICINE AND WATER TREATMENT, WTH CD, THE,  HB"</f>
        <v>BACTERICIDAL AND OLIGODYNAMIC ACTION OF SILVER AND COPPER IN HYGIENE, MEDICINE AND WATER TREATMENT, WTH CD, THE,  HB</v>
      </c>
      <c r="B2689" t="str">
        <f>"9780904477306"</f>
        <v>9780904477306</v>
      </c>
      <c r="C2689">
        <v>72.8</v>
      </c>
      <c r="D2689" t="str">
        <f>"USD"</f>
        <v>USD</v>
      </c>
      <c r="E2689" t="str">
        <f>"2007"</f>
        <v>2007</v>
      </c>
      <c r="F2689" t="str">
        <f>"Landau"</f>
        <v>Landau</v>
      </c>
      <c r="G2689" t="str">
        <f>"supply"</f>
        <v>supply</v>
      </c>
    </row>
    <row r="2690" spans="1:7" x14ac:dyDescent="0.25">
      <c r="A2690" t="str">
        <f>"Banggai Cardinalfish: Natural History, Conservation, and Culture of Pterapogon kauderni"</f>
        <v>Banggai Cardinalfish: Natural History, Conservation, and Culture of Pterapogon kauderni</v>
      </c>
      <c r="B2690" t="str">
        <f>"9780470654996"</f>
        <v>9780470654996</v>
      </c>
      <c r="C2690">
        <v>64</v>
      </c>
      <c r="D2690" t="str">
        <f>"USD"</f>
        <v>USD</v>
      </c>
      <c r="E2690" t="str">
        <f>"2011"</f>
        <v>2011</v>
      </c>
      <c r="F2690" t="str">
        <f>"Vagelli"</f>
        <v>Vagelli</v>
      </c>
      <c r="G2690" t="str">
        <f>"avanddanesh"</f>
        <v>avanddanesh</v>
      </c>
    </row>
    <row r="2691" spans="1:7" x14ac:dyDescent="0.25">
      <c r="A2691" t="str">
        <f>"Basic Environmental Technology, 6e"</f>
        <v>Basic Environmental Technology, 6e</v>
      </c>
      <c r="B2691" t="str">
        <f>"9789332575134"</f>
        <v>9789332575134</v>
      </c>
      <c r="C2691">
        <v>16.62</v>
      </c>
      <c r="D2691" t="str">
        <f>"USD"</f>
        <v>USD</v>
      </c>
      <c r="E2691" t="str">
        <f>"2016"</f>
        <v>2016</v>
      </c>
      <c r="F2691" t="str">
        <f>"Nathanson"</f>
        <v>Nathanson</v>
      </c>
      <c r="G2691" t="str">
        <f>"jahanadib"</f>
        <v>jahanadib</v>
      </c>
    </row>
    <row r="2692" spans="1:7" x14ac:dyDescent="0.25">
      <c r="A2692" t="str">
        <f>"Basics of Environmental Science"</f>
        <v>Basics of Environmental Science</v>
      </c>
      <c r="B2692" t="str">
        <f>"9781783322879"</f>
        <v>9781783322879</v>
      </c>
      <c r="C2692">
        <v>24.47</v>
      </c>
      <c r="D2692" t="str">
        <f>"GBP"</f>
        <v>GBP</v>
      </c>
      <c r="E2692" t="str">
        <f>"2017"</f>
        <v>2017</v>
      </c>
      <c r="F2692" t="str">
        <f>"Khosla"</f>
        <v>Khosla</v>
      </c>
      <c r="G2692" t="str">
        <f>"jahanadib"</f>
        <v>jahanadib</v>
      </c>
    </row>
    <row r="2693" spans="1:7" x14ac:dyDescent="0.25">
      <c r="A2693" t="str">
        <f>"Basics of Environmental Science"</f>
        <v>Basics of Environmental Science</v>
      </c>
      <c r="B2693" t="str">
        <f>"9781783322879"</f>
        <v>9781783322879</v>
      </c>
      <c r="C2693">
        <v>24.46</v>
      </c>
      <c r="D2693" t="str">
        <f>"GBP"</f>
        <v>GBP</v>
      </c>
      <c r="E2693" t="str">
        <f>"2017"</f>
        <v>2017</v>
      </c>
      <c r="F2693" t="str">
        <f>"Khosla"</f>
        <v>Khosla</v>
      </c>
      <c r="G2693" t="str">
        <f>"safirketab"</f>
        <v>safirketab</v>
      </c>
    </row>
    <row r="2694" spans="1:7" x14ac:dyDescent="0.25">
      <c r="A2694" t="str">
        <f>"Bassett's Environmental Health Procedures"</f>
        <v>Bassett's Environmental Health Procedures</v>
      </c>
      <c r="B2694" t="str">
        <f>"9780415639712"</f>
        <v>9780415639712</v>
      </c>
      <c r="C2694">
        <v>84</v>
      </c>
      <c r="D2694" t="str">
        <f>"GBP"</f>
        <v>GBP</v>
      </c>
      <c r="E2694" t="str">
        <f>"2014"</f>
        <v>2014</v>
      </c>
      <c r="F2694" t="str">
        <f>"Tim Deveaux"</f>
        <v>Tim Deveaux</v>
      </c>
      <c r="G2694" t="str">
        <f>"AsarBartar"</f>
        <v>AsarBartar</v>
      </c>
    </row>
    <row r="2695" spans="1:7" x14ac:dyDescent="0.25">
      <c r="A2695" t="str">
        <f>"Bayesian Data Analysis In Ecology Using Linear Mod"</f>
        <v>Bayesian Data Analysis In Ecology Using Linear Mod</v>
      </c>
      <c r="B2695" t="str">
        <f>"9780128013700"</f>
        <v>9780128013700</v>
      </c>
      <c r="C2695">
        <v>81</v>
      </c>
      <c r="D2695" t="str">
        <f>"USD"</f>
        <v>USD</v>
      </c>
      <c r="E2695" t="str">
        <f>"2015"</f>
        <v>2015</v>
      </c>
      <c r="F2695" t="str">
        <f>"N/A*"</f>
        <v>N/A*</v>
      </c>
      <c r="G2695" t="str">
        <f>"dehkadehketab"</f>
        <v>dehkadehketab</v>
      </c>
    </row>
    <row r="2696" spans="1:7" x14ac:dyDescent="0.25">
      <c r="A2696" t="str">
        <f>"Beetles in Conservation"</f>
        <v>Beetles in Conservation</v>
      </c>
      <c r="B2696" t="str">
        <f>"9781444332599"</f>
        <v>9781444332599</v>
      </c>
      <c r="C2696">
        <v>81.7</v>
      </c>
      <c r="D2696" t="str">
        <f>"USD"</f>
        <v>USD</v>
      </c>
      <c r="E2696" t="str">
        <f>"2010"</f>
        <v>2010</v>
      </c>
      <c r="F2696" t="str">
        <f>"New"</f>
        <v>New</v>
      </c>
      <c r="G2696" t="str">
        <f>"safirketab"</f>
        <v>safirketab</v>
      </c>
    </row>
    <row r="2697" spans="1:7" x14ac:dyDescent="0.25">
      <c r="A2697" t="str">
        <f>"BENCHMARKING WATER SERVICES : GUIDING WATER UTILITIES T"</f>
        <v>BENCHMARKING WATER SERVICES : GUIDING WATER UTILITIES T</v>
      </c>
      <c r="B2697" t="str">
        <f>"9781843391982"</f>
        <v>9781843391982</v>
      </c>
      <c r="C2697">
        <v>28.5</v>
      </c>
      <c r="D2697" t="str">
        <f>"GBP"</f>
        <v>GBP</v>
      </c>
      <c r="E2697" t="str">
        <f>"2011"</f>
        <v>2011</v>
      </c>
      <c r="F2697" t="str">
        <f>"ENRIQUE CABRERA JR."</f>
        <v>ENRIQUE CABRERA JR.</v>
      </c>
      <c r="G2697" t="str">
        <f>"AsarBartar"</f>
        <v>AsarBartar</v>
      </c>
    </row>
    <row r="2698" spans="1:7" x14ac:dyDescent="0.25">
      <c r="A2698" t="str">
        <f>"BENEFITS OF INVESTING IN WATER AND SANITATION: AN OECD"</f>
        <v>BENEFITS OF INVESTING IN WATER AND SANITATION: AN OECD</v>
      </c>
      <c r="B2698" t="str">
        <f>"9781780400112"</f>
        <v>9781780400112</v>
      </c>
      <c r="C2698">
        <v>7.8</v>
      </c>
      <c r="D2698" t="str">
        <f>"GBP"</f>
        <v>GBP</v>
      </c>
      <c r="E2698" t="str">
        <f>"2011"</f>
        <v>2011</v>
      </c>
      <c r="F2698" t="str">
        <f>"ORGANISATION FOR EC"</f>
        <v>ORGANISATION FOR EC</v>
      </c>
      <c r="G2698" t="str">
        <f>"AsarBartar"</f>
        <v>AsarBartar</v>
      </c>
    </row>
    <row r="2699" spans="1:7" x14ac:dyDescent="0.25">
      <c r="A2699" t="str">
        <f>"BETTER LAND HUSBANDRY  : From Soil Conservation To Holistic Land Management, PB"</f>
        <v>BETTER LAND HUSBANDRY  : From Soil Conservation To Holistic Land Management, PB</v>
      </c>
      <c r="B2699" t="str">
        <f>"9781578082445"</f>
        <v>9781578082445</v>
      </c>
      <c r="C2699">
        <v>83.09</v>
      </c>
      <c r="D2699" t="str">
        <f>"USD"</f>
        <v>USD</v>
      </c>
      <c r="E2699" t="str">
        <f>"2006"</f>
        <v>2006</v>
      </c>
      <c r="F2699" t="str">
        <f>"Hellin"</f>
        <v>Hellin</v>
      </c>
      <c r="G2699" t="str">
        <f>"supply"</f>
        <v>supply</v>
      </c>
    </row>
    <row r="2700" spans="1:7" x14ac:dyDescent="0.25">
      <c r="A2700" t="str">
        <f>"Beyond the Biophysical: Knowledge. Culture. and Power in Agriculture and Natural Resource Management"</f>
        <v>Beyond the Biophysical: Knowledge. Culture. and Power in Agriculture and Natural Resource Management</v>
      </c>
      <c r="B2700" t="str">
        <f>"9789048188253"</f>
        <v>9789048188253</v>
      </c>
      <c r="C2700">
        <v>143.99</v>
      </c>
      <c r="D2700" t="str">
        <f>"EUR"</f>
        <v>EUR</v>
      </c>
      <c r="E2700" t="str">
        <f>"2010"</f>
        <v>2010</v>
      </c>
      <c r="F2700" t="str">
        <f>"German"</f>
        <v>German</v>
      </c>
      <c r="G2700" t="str">
        <f>"negarestanabi"</f>
        <v>negarestanabi</v>
      </c>
    </row>
    <row r="2701" spans="1:7" x14ac:dyDescent="0.25">
      <c r="A2701" t="str">
        <f>"Big Thaw:Travels in the Melting North"</f>
        <v>Big Thaw:Travels in the Melting North</v>
      </c>
      <c r="B2701" t="str">
        <f>"9780470157282"</f>
        <v>9780470157282</v>
      </c>
      <c r="C2701">
        <v>23.24</v>
      </c>
      <c r="D2701" t="str">
        <f>"USD"</f>
        <v>USD</v>
      </c>
      <c r="E2701" t="str">
        <f>"2009"</f>
        <v>2009</v>
      </c>
      <c r="F2701" t="str">
        <f>"Struzik"</f>
        <v>Struzik</v>
      </c>
      <c r="G2701" t="str">
        <f>"safirketab"</f>
        <v>safirketab</v>
      </c>
    </row>
    <row r="2702" spans="1:7" x14ac:dyDescent="0.25">
      <c r="A2702" t="str">
        <f>"BIODIVERSITY AND ECOSYSTEM INSECURI"</f>
        <v>BIODIVERSITY AND ECOSYSTEM INSECURI</v>
      </c>
      <c r="B2702" t="str">
        <f>"9781849712200"</f>
        <v>9781849712200</v>
      </c>
      <c r="C2702">
        <v>7.49</v>
      </c>
      <c r="D2702" t="str">
        <f>"GBP"</f>
        <v>GBP</v>
      </c>
      <c r="E2702" t="str">
        <f>"2011"</f>
        <v>2011</v>
      </c>
      <c r="F2702" t="str">
        <f>"DJOGHLAF"</f>
        <v>DJOGHLAF</v>
      </c>
      <c r="G2702" t="str">
        <f>"AsarBartar"</f>
        <v>AsarBartar</v>
      </c>
    </row>
    <row r="2703" spans="1:7" x14ac:dyDescent="0.25">
      <c r="A2703" t="str">
        <f>"Biodiversity and Insect Pests: Key Issues for Sustainable Management"</f>
        <v>Biodiversity and Insect Pests: Key Issues for Sustainable Management</v>
      </c>
      <c r="B2703" t="str">
        <f>"9780470656860"</f>
        <v>9780470656860</v>
      </c>
      <c r="C2703">
        <v>69</v>
      </c>
      <c r="D2703" t="str">
        <f t="shared" ref="D2703:D2709" si="179">"USD"</f>
        <v>USD</v>
      </c>
      <c r="E2703" t="str">
        <f>"2012"</f>
        <v>2012</v>
      </c>
      <c r="F2703" t="str">
        <f>"Gurr"</f>
        <v>Gurr</v>
      </c>
      <c r="G2703" t="str">
        <f>"avanddanesh"</f>
        <v>avanddanesh</v>
      </c>
    </row>
    <row r="2704" spans="1:7" x14ac:dyDescent="0.25">
      <c r="A2704" t="str">
        <f>"Biodiversity Conservation and Poverty Alleviation: Exploring the Evidence for a Link"</f>
        <v>Biodiversity Conservation and Poverty Alleviation: Exploring the Evidence for a Link</v>
      </c>
      <c r="B2704" t="str">
        <f>"9780470674789"</f>
        <v>9780470674789</v>
      </c>
      <c r="C2704">
        <v>42</v>
      </c>
      <c r="D2704" t="str">
        <f t="shared" si="179"/>
        <v>USD</v>
      </c>
      <c r="E2704" t="str">
        <f>"2012"</f>
        <v>2012</v>
      </c>
      <c r="F2704" t="str">
        <f>"Roe"</f>
        <v>Roe</v>
      </c>
      <c r="G2704" t="str">
        <f>"avanddanesh"</f>
        <v>avanddanesh</v>
      </c>
    </row>
    <row r="2705" spans="1:7" x14ac:dyDescent="0.25">
      <c r="A2705" t="str">
        <f>"BIODIVERSITY CONSERVATION, ENVIRONMENTAL POLLUTION AND ECOLOGY, Set of 2 vols, HB"</f>
        <v>BIODIVERSITY CONSERVATION, ENVIRONMENTAL POLLUTION AND ECOLOGY, Set of 2 vols, HB</v>
      </c>
      <c r="B2705" t="str">
        <f>"9788176483742"</f>
        <v>9788176483742</v>
      </c>
      <c r="C2705">
        <v>41.09</v>
      </c>
      <c r="D2705" t="str">
        <f t="shared" si="179"/>
        <v>USD</v>
      </c>
      <c r="E2705" t="str">
        <f>"2011"</f>
        <v>2011</v>
      </c>
      <c r="F2705" t="str">
        <f>"Pandey"</f>
        <v>Pandey</v>
      </c>
      <c r="G2705" t="str">
        <f>"supply"</f>
        <v>supply</v>
      </c>
    </row>
    <row r="2706" spans="1:7" x14ac:dyDescent="0.25">
      <c r="A2706" t="str">
        <f>"BIODIVERSITY FOR SUSTAINABLE DEVELOPMENT, HB"</f>
        <v>BIODIVERSITY FOR SUSTAINABLE DEVELOPMENT, HB</v>
      </c>
      <c r="B2706" t="str">
        <f>"9788131427071"</f>
        <v>9788131427071</v>
      </c>
      <c r="C2706">
        <v>28</v>
      </c>
      <c r="D2706" t="str">
        <f t="shared" si="179"/>
        <v>USD</v>
      </c>
      <c r="E2706" t="str">
        <f>"2012"</f>
        <v>2012</v>
      </c>
      <c r="F2706" t="str">
        <f>"Hussain"</f>
        <v>Hussain</v>
      </c>
      <c r="G2706" t="str">
        <f>"supply"</f>
        <v>supply</v>
      </c>
    </row>
    <row r="2707" spans="1:7" x14ac:dyDescent="0.25">
      <c r="A2707" t="str">
        <f>"Biodiversity Reserve : A Goldmine For Aquaculture, HB"</f>
        <v>Biodiversity Reserve : A Goldmine For Aquaculture, HB</v>
      </c>
      <c r="B2707" t="str">
        <f>"9788170356394"</f>
        <v>9788170356394</v>
      </c>
      <c r="C2707">
        <v>32.97</v>
      </c>
      <c r="D2707" t="str">
        <f t="shared" si="179"/>
        <v>USD</v>
      </c>
      <c r="E2707" t="str">
        <f>"2010"</f>
        <v>2010</v>
      </c>
      <c r="F2707" t="str">
        <f>"Parimal"</f>
        <v>Parimal</v>
      </c>
      <c r="G2707" t="str">
        <f>"supply"</f>
        <v>supply</v>
      </c>
    </row>
    <row r="2708" spans="1:7" x14ac:dyDescent="0.25">
      <c r="A2708" t="str">
        <f>"Biofouling"</f>
        <v>Biofouling</v>
      </c>
      <c r="B2708" t="str">
        <f>"9781405169264"</f>
        <v>9781405169264</v>
      </c>
      <c r="C2708">
        <v>80</v>
      </c>
      <c r="D2708" t="str">
        <f t="shared" si="179"/>
        <v>USD</v>
      </c>
      <c r="E2708" t="str">
        <f>"2009"</f>
        <v>2009</v>
      </c>
      <c r="F2708" t="str">
        <f>"Durr"</f>
        <v>Durr</v>
      </c>
      <c r="G2708" t="str">
        <f>"safirketab"</f>
        <v>safirketab</v>
      </c>
    </row>
    <row r="2709" spans="1:7" x14ac:dyDescent="0.25">
      <c r="A2709" t="str">
        <f>"Biofouling"</f>
        <v>Biofouling</v>
      </c>
      <c r="B2709" t="str">
        <f>"9781405169264"</f>
        <v>9781405169264</v>
      </c>
      <c r="C2709">
        <v>80</v>
      </c>
      <c r="D2709" t="str">
        <f t="shared" si="179"/>
        <v>USD</v>
      </c>
      <c r="E2709" t="str">
        <f>"2009"</f>
        <v>2009</v>
      </c>
      <c r="F2709" t="str">
        <f>"Drr"</f>
        <v>Drr</v>
      </c>
      <c r="G2709" t="str">
        <f>"avanddanesh"</f>
        <v>avanddanesh</v>
      </c>
    </row>
    <row r="2710" spans="1:7" x14ac:dyDescent="0.25">
      <c r="A2710" t="str">
        <f>"BIOFOULING OF SPIRAL WOUND MEMBRANE SYSTEMS"</f>
        <v>BIOFOULING OF SPIRAL WOUND MEMBRANE SYSTEMS</v>
      </c>
      <c r="B2710" t="str">
        <f>"9781843393634"</f>
        <v>9781843393634</v>
      </c>
      <c r="C2710">
        <v>32.4</v>
      </c>
      <c r="D2710" t="str">
        <f>"GBP"</f>
        <v>GBP</v>
      </c>
      <c r="E2710" t="str">
        <f>"2011"</f>
        <v>2011</v>
      </c>
      <c r="F2710" t="str">
        <f>"JOHANNES SIMON VROU"</f>
        <v>JOHANNES SIMON VROU</v>
      </c>
      <c r="G2710" t="str">
        <f>"AsarBartar"</f>
        <v>AsarBartar</v>
      </c>
    </row>
    <row r="2711" spans="1:7" x14ac:dyDescent="0.25">
      <c r="A2711" t="str">
        <f>"Biogeochemical Cycle of Silicon in the Ocean"</f>
        <v>Biogeochemical Cycle of Silicon in the Ocean</v>
      </c>
      <c r="B2711" t="str">
        <f>"9781848218154"</f>
        <v>9781848218154</v>
      </c>
      <c r="C2711">
        <v>89.3</v>
      </c>
      <c r="D2711" t="str">
        <f>"USD"</f>
        <v>USD</v>
      </c>
      <c r="E2711" t="str">
        <f>"2016"</f>
        <v>2016</v>
      </c>
      <c r="F2711" t="str">
        <f>"QuÃ©guiner"</f>
        <v>QuÃ©guiner</v>
      </c>
      <c r="G2711" t="str">
        <f>"avanddanesh"</f>
        <v>avanddanesh</v>
      </c>
    </row>
    <row r="2712" spans="1:7" x14ac:dyDescent="0.25">
      <c r="A2712" t="str">
        <f>"Biogeography: An Ecological and Evolutionary Approach,9e"</f>
        <v>Biogeography: An Ecological and Evolutionary Approach,9e</v>
      </c>
      <c r="B2712" t="str">
        <f>"9781118968581"</f>
        <v>9781118968581</v>
      </c>
      <c r="C2712">
        <v>55.3</v>
      </c>
      <c r="D2712" t="str">
        <f>"USD"</f>
        <v>USD</v>
      </c>
      <c r="E2712" t="str">
        <f>"2016"</f>
        <v>2016</v>
      </c>
      <c r="F2712" t="str">
        <f>"Cox"</f>
        <v>Cox</v>
      </c>
      <c r="G2712" t="str">
        <f>"avanddanesh"</f>
        <v>avanddanesh</v>
      </c>
    </row>
    <row r="2713" spans="1:7" x14ac:dyDescent="0.25">
      <c r="A2713" t="str">
        <f>"Bioinformation"</f>
        <v>Bioinformation</v>
      </c>
      <c r="B2713" t="str">
        <f>"9781509505463"</f>
        <v>9781509505463</v>
      </c>
      <c r="C2713">
        <v>18</v>
      </c>
      <c r="D2713" t="str">
        <f>"USD"</f>
        <v>USD</v>
      </c>
      <c r="E2713" t="str">
        <f>"2017"</f>
        <v>2017</v>
      </c>
      <c r="F2713" t="str">
        <f>"Parry"</f>
        <v>Parry</v>
      </c>
      <c r="G2713" t="str">
        <f>"avanddanesh"</f>
        <v>avanddanesh</v>
      </c>
    </row>
    <row r="2714" spans="1:7" x14ac:dyDescent="0.25">
      <c r="A2714" t="str">
        <f>"Biological Invasions in Changing Ecosystems: Vectors, Ecological Impacts, Management and Predictions"</f>
        <v>Biological Invasions in Changing Ecosystems: Vectors, Ecological Impacts, Management and Predictions</v>
      </c>
      <c r="B2714" t="str">
        <f>"9783110438659"</f>
        <v>9783110438659</v>
      </c>
      <c r="C2714">
        <v>136</v>
      </c>
      <c r="D2714" t="str">
        <f>"EUR"</f>
        <v>EUR</v>
      </c>
      <c r="E2714" t="str">
        <f>"2015"</f>
        <v>2015</v>
      </c>
      <c r="F2714" t="str">
        <f>"JoÙ…o Canning-clode("</f>
        <v>JoÙ…o Canning-clode(</v>
      </c>
      <c r="G2714" t="str">
        <f>"AsarBartar"</f>
        <v>AsarBartar</v>
      </c>
    </row>
    <row r="2715" spans="1:7" x14ac:dyDescent="0.25">
      <c r="A2715" t="str">
        <f>"Biological Oceanography,2e"</f>
        <v>Biological Oceanography,2e</v>
      </c>
      <c r="B2715" t="str">
        <f>"9781444333022"</f>
        <v>9781444333022</v>
      </c>
      <c r="C2715">
        <v>39</v>
      </c>
      <c r="D2715" t="str">
        <f>"USD"</f>
        <v>USD</v>
      </c>
      <c r="E2715" t="str">
        <f>"2012"</f>
        <v>2012</v>
      </c>
      <c r="F2715" t="str">
        <f>"Miller"</f>
        <v>Miller</v>
      </c>
      <c r="G2715" t="str">
        <f>"avanddanesh"</f>
        <v>avanddanesh</v>
      </c>
    </row>
    <row r="2716" spans="1:7" x14ac:dyDescent="0.25">
      <c r="A2716" t="str">
        <f>"Biological Soil Crusts: An Organizing Principle in Drylands"</f>
        <v>Biological Soil Crusts: An Organizing Principle in Drylands</v>
      </c>
      <c r="B2716" t="str">
        <f>"9783319302126"</f>
        <v>9783319302126</v>
      </c>
      <c r="C2716">
        <v>179.99</v>
      </c>
      <c r="D2716" t="str">
        <f>"EUR"</f>
        <v>EUR</v>
      </c>
      <c r="E2716" t="str">
        <f>"2016"</f>
        <v>2016</v>
      </c>
      <c r="F2716" t="str">
        <f>"Weber"</f>
        <v>Weber</v>
      </c>
      <c r="G2716" t="str">
        <f>"negarestanabi"</f>
        <v>negarestanabi</v>
      </c>
    </row>
    <row r="2717" spans="1:7" x14ac:dyDescent="0.25">
      <c r="A2717" t="str">
        <f>"Biological Wastewater Treatment Processes: Mass and Heat Balances"</f>
        <v>Biological Wastewater Treatment Processes: Mass and Heat Balances</v>
      </c>
      <c r="B2717" t="str">
        <f>"9781482229264"</f>
        <v>9781482229264</v>
      </c>
      <c r="C2717">
        <v>114.3</v>
      </c>
      <c r="D2717" t="str">
        <f>"GBP"</f>
        <v>GBP</v>
      </c>
      <c r="E2717" t="str">
        <f>"2017"</f>
        <v>2017</v>
      </c>
      <c r="F2717" t="str">
        <f>"DIONISI"</f>
        <v>DIONISI</v>
      </c>
      <c r="G2717" t="str">
        <f>"sal"</f>
        <v>sal</v>
      </c>
    </row>
    <row r="2718" spans="1:7" x14ac:dyDescent="0.25">
      <c r="A2718" t="str">
        <f>"Biologically-Inspired Energy Harvesting through Wireless Sensor Technologies"</f>
        <v>Biologically-Inspired Energy Harvesting through Wireless Sensor Technologies</v>
      </c>
      <c r="B2718" t="str">
        <f>"9781466697928"</f>
        <v>9781466697928</v>
      </c>
      <c r="C2718">
        <v>130</v>
      </c>
      <c r="D2718" t="str">
        <f>"USD"</f>
        <v>USD</v>
      </c>
      <c r="E2718" t="str">
        <f>"2016"</f>
        <v>2016</v>
      </c>
      <c r="F2718" t="str">
        <f>"Vasaki Ponnusamy"</f>
        <v>Vasaki Ponnusamy</v>
      </c>
      <c r="G2718" t="str">
        <f>"arzinbooks"</f>
        <v>arzinbooks</v>
      </c>
    </row>
    <row r="2719" spans="1:7" x14ac:dyDescent="0.25">
      <c r="A2719" t="str">
        <f>"BIOLOGY &amp; MANAGE OF WHITE-TAILED DE"</f>
        <v>BIOLOGY &amp; MANAGE OF WHITE-TAILED DE</v>
      </c>
      <c r="B2719" t="str">
        <f>"9781439806517"</f>
        <v>9781439806517</v>
      </c>
      <c r="C2719">
        <v>23.09</v>
      </c>
      <c r="D2719" t="str">
        <f>"GBP"</f>
        <v>GBP</v>
      </c>
      <c r="E2719" t="str">
        <f>"2011"</f>
        <v>2011</v>
      </c>
      <c r="F2719" t="str">
        <f>"D G HEWITT"</f>
        <v>D G HEWITT</v>
      </c>
      <c r="G2719" t="str">
        <f>"AsarBartar"</f>
        <v>AsarBartar</v>
      </c>
    </row>
    <row r="2720" spans="1:7" x14ac:dyDescent="0.25">
      <c r="A2720" t="str">
        <f>"Biology and Ecology of Sardines and Anchovies"</f>
        <v>Biology and Ecology of Sardines and Anchovies</v>
      </c>
      <c r="B2720" t="str">
        <f>"9781482228540"</f>
        <v>9781482228540</v>
      </c>
      <c r="C2720">
        <v>88</v>
      </c>
      <c r="D2720" t="str">
        <f>"GBP"</f>
        <v>GBP</v>
      </c>
      <c r="E2720" t="str">
        <f>"2014"</f>
        <v>2014</v>
      </c>
      <c r="F2720" t="str">
        <f>"Konstantinos Ganias"</f>
        <v>Konstantinos Ganias</v>
      </c>
      <c r="G2720" t="str">
        <f>"AsarBartar"</f>
        <v>AsarBartar</v>
      </c>
    </row>
    <row r="2721" spans="1:7" x14ac:dyDescent="0.25">
      <c r="A2721" t="str">
        <f>"Biomass Recalcitrance: Deconstructing the Plant Cell Wall for Bioenergy"</f>
        <v>Biomass Recalcitrance: Deconstructing the Plant Cell Wall for Bioenergy</v>
      </c>
      <c r="B2721" t="str">
        <f>"9781405163606"</f>
        <v>9781405163606</v>
      </c>
      <c r="C2721">
        <v>70</v>
      </c>
      <c r="D2721" t="str">
        <f t="shared" ref="D2721:D2726" si="180">"USD"</f>
        <v>USD</v>
      </c>
      <c r="E2721" t="str">
        <f>"2008"</f>
        <v>2008</v>
      </c>
      <c r="F2721" t="str">
        <f>"Himmel"</f>
        <v>Himmel</v>
      </c>
      <c r="G2721" t="str">
        <f>"avanddanesh"</f>
        <v>avanddanesh</v>
      </c>
    </row>
    <row r="2722" spans="1:7" x14ac:dyDescent="0.25">
      <c r="A2722" t="str">
        <f>"Bio-optical Modeling and Remote Sensing of Inland Waters"</f>
        <v>Bio-optical Modeling and Remote Sensing of Inland Waters</v>
      </c>
      <c r="B2722" t="str">
        <f>"9780128046449"</f>
        <v>9780128046449</v>
      </c>
      <c r="C2722">
        <v>117</v>
      </c>
      <c r="D2722" t="str">
        <f t="shared" si="180"/>
        <v>USD</v>
      </c>
      <c r="E2722" t="str">
        <f>"2017"</f>
        <v>2017</v>
      </c>
      <c r="F2722" t="str">
        <f>"Mishra et al"</f>
        <v>Mishra et al</v>
      </c>
      <c r="G2722" t="str">
        <f>"arang"</f>
        <v>arang</v>
      </c>
    </row>
    <row r="2723" spans="1:7" x14ac:dyDescent="0.25">
      <c r="A2723" t="str">
        <f>"Bio-Optical Modelling and Remote Sensing of Inland Waters"</f>
        <v>Bio-Optical Modelling and Remote Sensing of Inland Waters</v>
      </c>
      <c r="B2723" t="str">
        <f>"9780128046388"</f>
        <v>9780128046388</v>
      </c>
      <c r="C2723">
        <v>117</v>
      </c>
      <c r="D2723" t="str">
        <f t="shared" si="180"/>
        <v>USD</v>
      </c>
      <c r="E2723" t="str">
        <f>"2017"</f>
        <v>2017</v>
      </c>
      <c r="F2723" t="str">
        <f>"Mishra et al"</f>
        <v>Mishra et al</v>
      </c>
      <c r="G2723" t="str">
        <f>"dehkadehketab"</f>
        <v>dehkadehketab</v>
      </c>
    </row>
    <row r="2724" spans="1:7" x14ac:dyDescent="0.25">
      <c r="A2724" t="str">
        <f>"Biophysical Chemistry of Fractal Structures and Processes in Environmental Systems"</f>
        <v>Biophysical Chemistry of Fractal Structures and Processes in Environmental Systems</v>
      </c>
      <c r="B2724" t="str">
        <f>"9780470014745"</f>
        <v>9780470014745</v>
      </c>
      <c r="C2724">
        <v>108</v>
      </c>
      <c r="D2724" t="str">
        <f t="shared" si="180"/>
        <v>USD</v>
      </c>
      <c r="E2724" t="str">
        <f>"2008"</f>
        <v>2008</v>
      </c>
      <c r="F2724" t="str">
        <f>"Senesi"</f>
        <v>Senesi</v>
      </c>
      <c r="G2724" t="str">
        <f>"safirketab"</f>
        <v>safirketab</v>
      </c>
    </row>
    <row r="2725" spans="1:7" x14ac:dyDescent="0.25">
      <c r="A2725" t="str">
        <f>"Biophysical Chemistry of Fractal Structures and Processes in Environmental Systems"</f>
        <v>Biophysical Chemistry of Fractal Structures and Processes in Environmental Systems</v>
      </c>
      <c r="B2725" t="str">
        <f>"9780470014745"</f>
        <v>9780470014745</v>
      </c>
      <c r="C2725">
        <v>108</v>
      </c>
      <c r="D2725" t="str">
        <f t="shared" si="180"/>
        <v>USD</v>
      </c>
      <c r="E2725" t="str">
        <f>"2008"</f>
        <v>2008</v>
      </c>
      <c r="F2725" t="str">
        <f>"Senesi"</f>
        <v>Senesi</v>
      </c>
      <c r="G2725" t="str">
        <f>"avanddanesh"</f>
        <v>avanddanesh</v>
      </c>
    </row>
    <row r="2726" spans="1:7" x14ac:dyDescent="0.25">
      <c r="A2726" t="str">
        <f>"Biophysico-Chemical Processes of Anthropogenic Organic Compounds in Environmental Systems"</f>
        <v>Biophysico-Chemical Processes of Anthropogenic Organic Compounds in Environmental Systems</v>
      </c>
      <c r="B2726" t="str">
        <f>"9780470539637"</f>
        <v>9780470539637</v>
      </c>
      <c r="C2726">
        <v>91.6</v>
      </c>
      <c r="D2726" t="str">
        <f t="shared" si="180"/>
        <v>USD</v>
      </c>
      <c r="E2726" t="str">
        <f>"2011"</f>
        <v>2011</v>
      </c>
      <c r="F2726" t="str">
        <f>"Xing"</f>
        <v>Xing</v>
      </c>
      <c r="G2726" t="str">
        <f>"avanddanesh"</f>
        <v>avanddanesh</v>
      </c>
    </row>
    <row r="2727" spans="1:7" x14ac:dyDescent="0.25">
      <c r="A2727" t="str">
        <f>"Bioreduction of Selenite and Tellurite by Phanerochaete Chrysosporium"</f>
        <v>Bioreduction of Selenite and Tellurite by Phanerochaete Chrysosporium</v>
      </c>
      <c r="B2727" t="str">
        <f>"9781138030046"</f>
        <v>9781138030046</v>
      </c>
      <c r="C2727">
        <v>40.049999999999997</v>
      </c>
      <c r="D2727" t="str">
        <f>"GBP"</f>
        <v>GBP</v>
      </c>
      <c r="E2727" t="str">
        <f>"2017"</f>
        <v>2017</v>
      </c>
      <c r="F2727" t="str">
        <f>"Erika Jimena Espino"</f>
        <v>Erika Jimena Espino</v>
      </c>
      <c r="G2727" t="str">
        <f>"AsarBartar"</f>
        <v>AsarBartar</v>
      </c>
    </row>
    <row r="2728" spans="1:7" x14ac:dyDescent="0.25">
      <c r="A2728" t="str">
        <f>"Bioremediation And Bioeconomy"</f>
        <v>Bioremediation And Bioeconomy</v>
      </c>
      <c r="B2728" t="str">
        <f>"9780128028308"</f>
        <v>9780128028308</v>
      </c>
      <c r="C2728">
        <v>108</v>
      </c>
      <c r="D2728" t="str">
        <f>"USD"</f>
        <v>USD</v>
      </c>
      <c r="E2728" t="str">
        <f>"2015"</f>
        <v>2015</v>
      </c>
      <c r="F2728" t="str">
        <f>"N/A*"</f>
        <v>N/A*</v>
      </c>
      <c r="G2728" t="str">
        <f>"dehkadehketab"</f>
        <v>dehkadehketab</v>
      </c>
    </row>
    <row r="2729" spans="1:7" x14ac:dyDescent="0.25">
      <c r="A2729" t="str">
        <f>"Bioremediation: Applications for Environmental Protection and Management"</f>
        <v>Bioremediation: Applications for Environmental Protection and Management</v>
      </c>
      <c r="B2729" t="str">
        <f>"9789811074844"</f>
        <v>9789811074844</v>
      </c>
      <c r="C2729">
        <v>179.99</v>
      </c>
      <c r="D2729" t="str">
        <f>"EUR"</f>
        <v>EUR</v>
      </c>
      <c r="E2729" t="str">
        <f>"2018"</f>
        <v>2018</v>
      </c>
      <c r="F2729" t="str">
        <f>"Varjani"</f>
        <v>Varjani</v>
      </c>
      <c r="G2729" t="str">
        <f>"negarestanabi"</f>
        <v>negarestanabi</v>
      </c>
    </row>
    <row r="2730" spans="1:7" x14ac:dyDescent="0.25">
      <c r="A2730" t="str">
        <f>"Biosecurity Surveillance"</f>
        <v>Biosecurity Surveillance</v>
      </c>
      <c r="B2730" t="str">
        <f>"9781780643595"</f>
        <v>9781780643595</v>
      </c>
      <c r="C2730">
        <v>115.47</v>
      </c>
      <c r="D2730" t="str">
        <f>"USD"</f>
        <v>USD</v>
      </c>
      <c r="E2730" t="str">
        <f>"2014"</f>
        <v>2014</v>
      </c>
      <c r="F2730" t="str">
        <f>"Frith  Jarrad"</f>
        <v>Frith  Jarrad</v>
      </c>
      <c r="G2730" t="str">
        <f>"safirketab"</f>
        <v>safirketab</v>
      </c>
    </row>
    <row r="2731" spans="1:7" x14ac:dyDescent="0.25">
      <c r="A2731" t="str">
        <f>"Boiler Water Treatment Principles and Practice"</f>
        <v>Boiler Water Treatment Principles and Practice</v>
      </c>
      <c r="B2731" t="str">
        <f>"9780820601731"</f>
        <v>9780820601731</v>
      </c>
      <c r="C2731">
        <v>58.65</v>
      </c>
      <c r="D2731" t="str">
        <f>"GBP"</f>
        <v>GBP</v>
      </c>
      <c r="E2731" t="str">
        <f>"2013"</f>
        <v>2013</v>
      </c>
      <c r="F2731" t="str">
        <f>"Frayne"</f>
        <v>Frayne</v>
      </c>
      <c r="G2731" t="str">
        <f>"jahanadib"</f>
        <v>jahanadib</v>
      </c>
    </row>
    <row r="2732" spans="1:7" x14ac:dyDescent="0.25">
      <c r="A2732" t="str">
        <f>"Botany, 2/e"</f>
        <v>Botany, 2/e</v>
      </c>
      <c r="B2732" t="str">
        <f>"9789382127086"</f>
        <v>9789382127086</v>
      </c>
      <c r="C2732">
        <v>14.45</v>
      </c>
      <c r="D2732" t="str">
        <f t="shared" ref="D2732:D2745" si="181">"USD"</f>
        <v>USD</v>
      </c>
      <c r="E2732" t="str">
        <f>"2015"</f>
        <v>2015</v>
      </c>
      <c r="F2732" t="str">
        <f>"Verma"</f>
        <v>Verma</v>
      </c>
      <c r="G2732" t="str">
        <f>"jahanadib"</f>
        <v>jahanadib</v>
      </c>
    </row>
    <row r="2733" spans="1:7" x14ac:dyDescent="0.25">
      <c r="A2733" t="str">
        <f>"Brig's Handbook of Methods &amp; Research in Air Pollution: Causes, Impacts and Control "</f>
        <v xml:space="preserve">Brig's Handbook of Methods &amp; Research in Air Pollution: Causes, Impacts and Control </v>
      </c>
      <c r="B2733" t="str">
        <f>"9781788352031"</f>
        <v>9781788352031</v>
      </c>
      <c r="C2733">
        <v>162</v>
      </c>
      <c r="D2733" t="str">
        <f t="shared" si="181"/>
        <v>USD</v>
      </c>
      <c r="E2733" t="str">
        <f t="shared" ref="E2733:E2744" si="182">"2018"</f>
        <v>2018</v>
      </c>
      <c r="F2733" t="str">
        <f>"M. Ferrante, M. Fio"</f>
        <v>M. Ferrante, M. Fio</v>
      </c>
      <c r="G2733" t="str">
        <f t="shared" ref="G2733:G2744" si="183">"AsarBartar"</f>
        <v>AsarBartar</v>
      </c>
    </row>
    <row r="2734" spans="1:7" x14ac:dyDescent="0.25">
      <c r="A2734" t="str">
        <f>"Brig's Handbook of Methods &amp; Research in Atmospheric Impacts of the Oil and Gas Industry"</f>
        <v>Brig's Handbook of Methods &amp; Research in Atmospheric Impacts of the Oil and Gas Industry</v>
      </c>
      <c r="B2734" t="str">
        <f>"9781788352048"</f>
        <v>9781788352048</v>
      </c>
      <c r="C2734">
        <v>162</v>
      </c>
      <c r="D2734" t="str">
        <f t="shared" si="181"/>
        <v>USD</v>
      </c>
      <c r="E2734" t="str">
        <f t="shared" si="182"/>
        <v>2018</v>
      </c>
      <c r="F2734" t="str">
        <f>"Elosta F et al."</f>
        <v>Elosta F et al.</v>
      </c>
      <c r="G2734" t="str">
        <f t="shared" si="183"/>
        <v>AsarBartar</v>
      </c>
    </row>
    <row r="2735" spans="1:7" x14ac:dyDescent="0.25">
      <c r="A2735" t="str">
        <f>"Brig's Handbook of Methods &amp; Research in Field Techniques in Glaciology and Glacial Geomorphology"</f>
        <v>Brig's Handbook of Methods &amp; Research in Field Techniques in Glaciology and Glacial Geomorphology</v>
      </c>
      <c r="B2735" t="str">
        <f>"9781788352055"</f>
        <v>9781788352055</v>
      </c>
      <c r="C2735">
        <v>162</v>
      </c>
      <c r="D2735" t="str">
        <f t="shared" si="181"/>
        <v>USD</v>
      </c>
      <c r="E2735" t="str">
        <f t="shared" si="182"/>
        <v>2018</v>
      </c>
      <c r="F2735" t="str">
        <f>"Jodi Lau, Jason F."</f>
        <v>Jodi Lau, Jason F.</v>
      </c>
      <c r="G2735" t="str">
        <f t="shared" si="183"/>
        <v>AsarBartar</v>
      </c>
    </row>
    <row r="2736" spans="1:7" x14ac:dyDescent="0.25">
      <c r="A2736" t="str">
        <f>"Brig's Handbook of Methods &amp; Research in Flood Geomorphology"</f>
        <v>Brig's Handbook of Methods &amp; Research in Flood Geomorphology</v>
      </c>
      <c r="B2736" t="str">
        <f>"9781788352062"</f>
        <v>9781788352062</v>
      </c>
      <c r="C2736">
        <v>162</v>
      </c>
      <c r="D2736" t="str">
        <f t="shared" si="181"/>
        <v>USD</v>
      </c>
      <c r="E2736" t="str">
        <f t="shared" si="182"/>
        <v>2018</v>
      </c>
      <c r="F2736" t="str">
        <f>"Toni Panaou, Samuel"</f>
        <v>Toni Panaou, Samuel</v>
      </c>
      <c r="G2736" t="str">
        <f t="shared" si="183"/>
        <v>AsarBartar</v>
      </c>
    </row>
    <row r="2737" spans="1:7" x14ac:dyDescent="0.25">
      <c r="A2737" t="str">
        <f>"Brig's Handbook of Methods &amp; Research in General Environmental Chemistry"</f>
        <v>Brig's Handbook of Methods &amp; Research in General Environmental Chemistry</v>
      </c>
      <c r="B2737" t="str">
        <f>"9781788352079"</f>
        <v>9781788352079</v>
      </c>
      <c r="C2737">
        <v>162</v>
      </c>
      <c r="D2737" t="str">
        <f t="shared" si="181"/>
        <v>USD</v>
      </c>
      <c r="E2737" t="str">
        <f t="shared" si="182"/>
        <v>2018</v>
      </c>
      <c r="F2737" t="str">
        <f>"Caroline Goedecke,"</f>
        <v>Caroline Goedecke,</v>
      </c>
      <c r="G2737" t="str">
        <f t="shared" si="183"/>
        <v>AsarBartar</v>
      </c>
    </row>
    <row r="2738" spans="1:7" x14ac:dyDescent="0.25">
      <c r="A2738" t="str">
        <f>"Brig's Handbook of Methods &amp; Research in Geobiology"</f>
        <v>Brig's Handbook of Methods &amp; Research in Geobiology</v>
      </c>
      <c r="B2738" t="str">
        <f>"9781788352086"</f>
        <v>9781788352086</v>
      </c>
      <c r="C2738">
        <v>162</v>
      </c>
      <c r="D2738" t="str">
        <f t="shared" si="181"/>
        <v>USD</v>
      </c>
      <c r="E2738" t="str">
        <f t="shared" si="182"/>
        <v>2018</v>
      </c>
      <c r="F2738" t="str">
        <f>"Magnus Ivarsson, Sa"</f>
        <v>Magnus Ivarsson, Sa</v>
      </c>
      <c r="G2738" t="str">
        <f t="shared" si="183"/>
        <v>AsarBartar</v>
      </c>
    </row>
    <row r="2739" spans="1:7" x14ac:dyDescent="0.25">
      <c r="A2739" t="str">
        <f>"Brig's Handbook of Methods &amp; Research in Geochemistry, Geophysics, Geosystems"</f>
        <v>Brig's Handbook of Methods &amp; Research in Geochemistry, Geophysics, Geosystems</v>
      </c>
      <c r="B2739" t="str">
        <f>"9781788352093"</f>
        <v>9781788352093</v>
      </c>
      <c r="C2739">
        <v>162</v>
      </c>
      <c r="D2739" t="str">
        <f t="shared" si="181"/>
        <v>USD</v>
      </c>
      <c r="E2739" t="str">
        <f t="shared" si="182"/>
        <v>2018</v>
      </c>
      <c r="F2739" t="str">
        <f>"Dekun Hou, Jiang He"</f>
        <v>Dekun Hou, Jiang He</v>
      </c>
      <c r="G2739" t="str">
        <f t="shared" si="183"/>
        <v>AsarBartar</v>
      </c>
    </row>
    <row r="2740" spans="1:7" x14ac:dyDescent="0.25">
      <c r="A2740" t="str">
        <f>"Brig's Handbook of Methods &amp; Research in Industrial Waste Management "</f>
        <v xml:space="preserve">Brig's Handbook of Methods &amp; Research in Industrial Waste Management </v>
      </c>
      <c r="B2740" t="str">
        <f>"9781788352109"</f>
        <v>9781788352109</v>
      </c>
      <c r="C2740">
        <v>162</v>
      </c>
      <c r="D2740" t="str">
        <f t="shared" si="181"/>
        <v>USD</v>
      </c>
      <c r="E2740" t="str">
        <f t="shared" si="182"/>
        <v>2018</v>
      </c>
      <c r="F2740" t="str">
        <f>"Y.C. Ho, K.Y. Show"</f>
        <v>Y.C. Ho, K.Y. Show</v>
      </c>
      <c r="G2740" t="str">
        <f t="shared" si="183"/>
        <v>AsarBartar</v>
      </c>
    </row>
    <row r="2741" spans="1:7" x14ac:dyDescent="0.25">
      <c r="A2741" t="str">
        <f>"Brig's Handbook of Methods &amp; Research in Natural Resources: Conservation and Management "</f>
        <v xml:space="preserve">Brig's Handbook of Methods &amp; Research in Natural Resources: Conservation and Management </v>
      </c>
      <c r="B2741" t="str">
        <f>"9781788352116"</f>
        <v>9781788352116</v>
      </c>
      <c r="C2741">
        <v>162</v>
      </c>
      <c r="D2741" t="str">
        <f t="shared" si="181"/>
        <v>USD</v>
      </c>
      <c r="E2741" t="str">
        <f t="shared" si="182"/>
        <v>2018</v>
      </c>
      <c r="F2741" t="str">
        <f>"Esmail Karamidehkor"</f>
        <v>Esmail Karamidehkor</v>
      </c>
      <c r="G2741" t="str">
        <f t="shared" si="183"/>
        <v>AsarBartar</v>
      </c>
    </row>
    <row r="2742" spans="1:7" x14ac:dyDescent="0.25">
      <c r="A2742" t="str">
        <f>"Brig's Handbook of Methods &amp; Research in Sustainable Energy - Recent Studies"</f>
        <v>Brig's Handbook of Methods &amp; Research in Sustainable Energy - Recent Studies</v>
      </c>
      <c r="B2742" t="str">
        <f>"9781788352123"</f>
        <v>9781788352123</v>
      </c>
      <c r="C2742">
        <v>162</v>
      </c>
      <c r="D2742" t="str">
        <f t="shared" si="181"/>
        <v>USD</v>
      </c>
      <c r="E2742" t="str">
        <f t="shared" si="182"/>
        <v>2018</v>
      </c>
      <c r="F2742" t="str">
        <f>"Dag Henning and Ale"</f>
        <v>Dag Henning and Ale</v>
      </c>
      <c r="G2742" t="str">
        <f t="shared" si="183"/>
        <v>AsarBartar</v>
      </c>
    </row>
    <row r="2743" spans="1:7" x14ac:dyDescent="0.25">
      <c r="A2743" t="str">
        <f>"Brig's Handbook of Methods &amp; Research in Water Resources Management"</f>
        <v>Brig's Handbook of Methods &amp; Research in Water Resources Management</v>
      </c>
      <c r="B2743" t="str">
        <f>"9781788352130"</f>
        <v>9781788352130</v>
      </c>
      <c r="C2743">
        <v>162</v>
      </c>
      <c r="D2743" t="str">
        <f t="shared" si="181"/>
        <v>USD</v>
      </c>
      <c r="E2743" t="str">
        <f t="shared" si="182"/>
        <v>2018</v>
      </c>
      <c r="F2743" t="str">
        <f>"Ruqayah Mohammed an"</f>
        <v>Ruqayah Mohammed an</v>
      </c>
      <c r="G2743" t="str">
        <f t="shared" si="183"/>
        <v>AsarBartar</v>
      </c>
    </row>
    <row r="2744" spans="1:7" x14ac:dyDescent="0.25">
      <c r="A2744" t="str">
        <f>"Brig's Handbook of Methods &amp; Research in Weather Analysis and Forecasting"</f>
        <v>Brig's Handbook of Methods &amp; Research in Weather Analysis and Forecasting</v>
      </c>
      <c r="B2744" t="str">
        <f>"9781788352147"</f>
        <v>9781788352147</v>
      </c>
      <c r="C2744">
        <v>162</v>
      </c>
      <c r="D2744" t="str">
        <f t="shared" si="181"/>
        <v>USD</v>
      </c>
      <c r="E2744" t="str">
        <f t="shared" si="182"/>
        <v>2018</v>
      </c>
      <c r="F2744" t="str">
        <f>"Tanzila Saba, Amjad"</f>
        <v>Tanzila Saba, Amjad</v>
      </c>
      <c r="G2744" t="str">
        <f t="shared" si="183"/>
        <v>AsarBartar</v>
      </c>
    </row>
    <row r="2745" spans="1:7" x14ac:dyDescent="0.25">
      <c r="A2745" t="str">
        <f>"Brown Trout: Biology, Ecology and Management"</f>
        <v>Brown Trout: Biology, Ecology and Management</v>
      </c>
      <c r="B2745" t="str">
        <f>"9781119268314"</f>
        <v>9781119268314</v>
      </c>
      <c r="C2745">
        <v>202.5</v>
      </c>
      <c r="D2745" t="str">
        <f t="shared" si="181"/>
        <v>USD</v>
      </c>
      <c r="E2745" t="str">
        <f>"2017"</f>
        <v>2017</v>
      </c>
      <c r="F2745" t="str">
        <f>"Lobon-Cervia"</f>
        <v>Lobon-Cervia</v>
      </c>
      <c r="G2745" t="str">
        <f>"avanddanesh"</f>
        <v>avanddanesh</v>
      </c>
    </row>
    <row r="2746" spans="1:7" x14ac:dyDescent="0.25">
      <c r="A2746" t="str">
        <f>"BROWNFIELDS IV : Prevention, Assessment, Rehabilitation And Development Of Brownfield Sites, HB"</f>
        <v>BROWNFIELDS IV : Prevention, Assessment, Rehabilitation And Development Of Brownfield Sites, HB</v>
      </c>
      <c r="B2746" t="str">
        <f>"9781845641054"</f>
        <v>9781845641054</v>
      </c>
      <c r="C2746">
        <v>76.3</v>
      </c>
      <c r="D2746" t="str">
        <f>"GBP"</f>
        <v>GBP</v>
      </c>
      <c r="E2746" t="str">
        <f>"2008"</f>
        <v>2008</v>
      </c>
      <c r="F2746" t="str">
        <f>"Beriatos"</f>
        <v>Beriatos</v>
      </c>
      <c r="G2746" t="str">
        <f>"supply"</f>
        <v>supply</v>
      </c>
    </row>
    <row r="2747" spans="1:7" x14ac:dyDescent="0.25">
      <c r="A2747" t="str">
        <f>"Bushmeat and Livelihoods: Wildlife Management and Poverty Reduction"</f>
        <v>Bushmeat and Livelihoods: Wildlife Management and Poverty Reduction</v>
      </c>
      <c r="B2747" t="str">
        <f>"9781405167796"</f>
        <v>9781405167796</v>
      </c>
      <c r="C2747">
        <v>40</v>
      </c>
      <c r="D2747" t="str">
        <f>"USD"</f>
        <v>USD</v>
      </c>
      <c r="E2747" t="str">
        <f>"2007"</f>
        <v>2007</v>
      </c>
      <c r="F2747" t="str">
        <f>"Davies"</f>
        <v>Davies</v>
      </c>
      <c r="G2747" t="str">
        <f>"avanddanesh"</f>
        <v>avanddanesh</v>
      </c>
    </row>
    <row r="2748" spans="1:7" x14ac:dyDescent="0.25">
      <c r="A2748" t="str">
        <f>"Bushmeat and Livelihoods: Wildlife Management and Poverty Reduction"</f>
        <v>Bushmeat and Livelihoods: Wildlife Management and Poverty Reduction</v>
      </c>
      <c r="B2748" t="str">
        <f>"9781405167796"</f>
        <v>9781405167796</v>
      </c>
      <c r="C2748">
        <v>40</v>
      </c>
      <c r="D2748" t="str">
        <f>"USD"</f>
        <v>USD</v>
      </c>
      <c r="E2748" t="str">
        <f>"2007"</f>
        <v>2007</v>
      </c>
      <c r="F2748" t="str">
        <f>"Davies"</f>
        <v>Davies</v>
      </c>
      <c r="G2748" t="str">
        <f>"safirketab"</f>
        <v>safirketab</v>
      </c>
    </row>
    <row r="2749" spans="1:7" x14ac:dyDescent="0.25">
      <c r="A2749" t="str">
        <f>"Business Interests and the Environmental Crisis"</f>
        <v>Business Interests and the Environmental Crisis</v>
      </c>
      <c r="B2749" t="str">
        <f>"9789351508601"</f>
        <v>9789351508601</v>
      </c>
      <c r="C2749">
        <v>28.5</v>
      </c>
      <c r="D2749" t="str">
        <f>"GBP"</f>
        <v>GBP</v>
      </c>
      <c r="E2749" t="str">
        <f>"2016"</f>
        <v>2016</v>
      </c>
      <c r="F2749" t="str">
        <f>"Kohli Kanchi and Men"</f>
        <v>Kohli Kanchi and Men</v>
      </c>
      <c r="G2749" t="str">
        <f>"arzinbooks"</f>
        <v>arzinbooks</v>
      </c>
    </row>
    <row r="2750" spans="1:7" x14ac:dyDescent="0.25">
      <c r="A2750" t="str">
        <f>"Business Interests and the Environmental Crisis"</f>
        <v>Business Interests and the Environmental Crisis</v>
      </c>
      <c r="B2750" t="str">
        <f>"9789351508601"</f>
        <v>9789351508601</v>
      </c>
      <c r="C2750">
        <v>28.5</v>
      </c>
      <c r="D2750" t="str">
        <f>"GBP"</f>
        <v>GBP</v>
      </c>
      <c r="E2750" t="str">
        <f>"2016"</f>
        <v>2016</v>
      </c>
      <c r="F2750" t="str">
        <f>"Kohli Kanchi an"</f>
        <v>Kohli Kanchi an</v>
      </c>
      <c r="G2750" t="str">
        <f>"kowkab"</f>
        <v>kowkab</v>
      </c>
    </row>
    <row r="2751" spans="1:7" x14ac:dyDescent="0.25">
      <c r="A2751" t="str">
        <f>"BUSINESS OF BIODIVERSITY, THE,  HB"</f>
        <v>BUSINESS OF BIODIVERSITY, THE,  HB</v>
      </c>
      <c r="B2751" t="str">
        <f>"9781845642082"</f>
        <v>9781845642082</v>
      </c>
      <c r="C2751">
        <v>54.6</v>
      </c>
      <c r="D2751" t="str">
        <f>"GBP"</f>
        <v>GBP</v>
      </c>
      <c r="E2751" t="str">
        <f>"2009"</f>
        <v>2009</v>
      </c>
      <c r="F2751" t="str">
        <f>"Everard"</f>
        <v>Everard</v>
      </c>
      <c r="G2751" t="str">
        <f>"supply"</f>
        <v>supply</v>
      </c>
    </row>
    <row r="2752" spans="1:7" x14ac:dyDescent="0.25">
      <c r="A2752" t="str">
        <f>"CACHING THE CARBON: THE POLITICS AND POLICY OF CARBON C"</f>
        <v>CACHING THE CARBON: THE POLITICS AND POLICY OF CARBON C</v>
      </c>
      <c r="B2752" t="str">
        <f>"9780857933874"</f>
        <v>9780857933874</v>
      </c>
      <c r="C2752">
        <v>8.98</v>
      </c>
      <c r="D2752" t="str">
        <f>"GBP"</f>
        <v>GBP</v>
      </c>
      <c r="E2752" t="str">
        <f>"2011"</f>
        <v>2011</v>
      </c>
      <c r="F2752" t="str">
        <f>"OLUF LANGHELLE(EDIT"</f>
        <v>OLUF LANGHELLE(EDIT</v>
      </c>
      <c r="G2752" t="str">
        <f>"AsarBartar"</f>
        <v>AsarBartar</v>
      </c>
    </row>
    <row r="2753" spans="1:7" x14ac:dyDescent="0.25">
      <c r="A2753" t="str">
        <f>"Cambrian Fossils of Chengjiang, China: The Flowering of Early Animal Life"</f>
        <v>Cambrian Fossils of Chengjiang, China: The Flowering of Early Animal Life</v>
      </c>
      <c r="B2753" t="str">
        <f>"9781405167192"</f>
        <v>9781405167192</v>
      </c>
      <c r="C2753">
        <v>35.97</v>
      </c>
      <c r="D2753" t="str">
        <f>"USD"</f>
        <v>USD</v>
      </c>
      <c r="E2753" t="str">
        <f>"2007"</f>
        <v>2007</v>
      </c>
      <c r="F2753" t="str">
        <f>"Hou"</f>
        <v>Hou</v>
      </c>
      <c r="G2753" t="str">
        <f>"safirketab"</f>
        <v>safirketab</v>
      </c>
    </row>
    <row r="2754" spans="1:7" x14ac:dyDescent="0.25">
      <c r="A2754" t="str">
        <f>"CAPACITY DEVELOPMENT FOR IMPROVED WATER MANAGEMENT"</f>
        <v>CAPACITY DEVELOPMENT FOR IMPROVED WATER MANAGEMENT</v>
      </c>
      <c r="B2754" t="str">
        <f>"9780415573986"</f>
        <v>9780415573986</v>
      </c>
      <c r="C2754">
        <v>19.190000000000001</v>
      </c>
      <c r="D2754" t="str">
        <f>"GBP"</f>
        <v>GBP</v>
      </c>
      <c r="E2754" t="str">
        <f>"2009"</f>
        <v>2009</v>
      </c>
      <c r="F2754" t="str">
        <f>"MAARTEN BLOKLAND"</f>
        <v>MAARTEN BLOKLAND</v>
      </c>
      <c r="G2754" t="str">
        <f>"AsarBartar"</f>
        <v>AsarBartar</v>
      </c>
    </row>
    <row r="2755" spans="1:7" x14ac:dyDescent="0.25">
      <c r="A2755" t="str">
        <f>"Carbon Capture and Storage, 2nd Edition"</f>
        <v>Carbon Capture and Storage, 2nd Edition</v>
      </c>
      <c r="B2755" t="str">
        <f>"9780128120415"</f>
        <v>9780128120415</v>
      </c>
      <c r="C2755">
        <v>157.5</v>
      </c>
      <c r="D2755" t="str">
        <f>"USD"</f>
        <v>USD</v>
      </c>
      <c r="E2755" t="str">
        <f>"2017"</f>
        <v>2017</v>
      </c>
      <c r="F2755" t="str">
        <f>"Rackley"</f>
        <v>Rackley</v>
      </c>
      <c r="G2755" t="str">
        <f>"arang"</f>
        <v>arang</v>
      </c>
    </row>
    <row r="2756" spans="1:7" x14ac:dyDescent="0.25">
      <c r="A2756" t="str">
        <f>"Carbon Dioxide Mineralization and Utilization"</f>
        <v>Carbon Dioxide Mineralization and Utilization</v>
      </c>
      <c r="B2756" t="str">
        <f>"9789811032677"</f>
        <v>9789811032677</v>
      </c>
      <c r="C2756">
        <v>152.99</v>
      </c>
      <c r="D2756" t="str">
        <f>"EUR"</f>
        <v>EUR</v>
      </c>
      <c r="E2756" t="str">
        <f>"2017"</f>
        <v>2017</v>
      </c>
      <c r="F2756" t="str">
        <f>"Chiang"</f>
        <v>Chiang</v>
      </c>
      <c r="G2756" t="str">
        <f>"negarestanabi"</f>
        <v>negarestanabi</v>
      </c>
    </row>
    <row r="2757" spans="1:7" x14ac:dyDescent="0.25">
      <c r="A2757" t="str">
        <f>"Carbon Footprint and the Industrial Life Cycle: From Urban Planning to Recycling"</f>
        <v>Carbon Footprint and the Industrial Life Cycle: From Urban Planning to Recycling</v>
      </c>
      <c r="B2757" t="str">
        <f>"9783319549835"</f>
        <v>9783319549835</v>
      </c>
      <c r="C2757">
        <v>161.99</v>
      </c>
      <c r="D2757" t="str">
        <f>"EUR"</f>
        <v>EUR</v>
      </c>
      <c r="E2757" t="str">
        <f>"2017"</f>
        <v>2017</v>
      </c>
      <c r="F2757" t="str">
        <f>"Ãlvarez FernÃ¡ndez"</f>
        <v>Ãlvarez FernÃ¡ndez</v>
      </c>
      <c r="G2757" t="str">
        <f>"negarestanabi"</f>
        <v>negarestanabi</v>
      </c>
    </row>
    <row r="2758" spans="1:7" x14ac:dyDescent="0.25">
      <c r="A2758" t="str">
        <f>"Carbon Governance, Climate Change and Business Transformation (Routledge Advances in Climate Change Research)"</f>
        <v>Carbon Governance, Climate Change and Business Transformation (Routledge Advances in Climate Change Research)</v>
      </c>
      <c r="B2758" t="str">
        <f>"9780415816908"</f>
        <v>9780415816908</v>
      </c>
      <c r="C2758">
        <v>83.2</v>
      </c>
      <c r="D2758" t="str">
        <f>"GBP"</f>
        <v>GBP</v>
      </c>
      <c r="E2758" t="str">
        <f>"2015"</f>
        <v>2015</v>
      </c>
      <c r="F2758" t="str">
        <f>"Chukwumerije Okerek"</f>
        <v>Chukwumerije Okerek</v>
      </c>
      <c r="G2758" t="str">
        <f>"AsarBartar"</f>
        <v>AsarBartar</v>
      </c>
    </row>
    <row r="2759" spans="1:7" x14ac:dyDescent="0.25">
      <c r="A2759" t="str">
        <f>"Carbon Sequestration for Climate Change Mitigation and Adaptation"</f>
        <v>Carbon Sequestration for Climate Change Mitigation and Adaptation</v>
      </c>
      <c r="B2759" t="str">
        <f>"9783319538433"</f>
        <v>9783319538433</v>
      </c>
      <c r="C2759">
        <v>197.99</v>
      </c>
      <c r="D2759" t="str">
        <f>"EUR"</f>
        <v>EUR</v>
      </c>
      <c r="E2759" t="str">
        <f>"2017"</f>
        <v>2017</v>
      </c>
      <c r="F2759" t="str">
        <f>"Ussiri"</f>
        <v>Ussiri</v>
      </c>
      <c r="G2759" t="str">
        <f>"negarestanabi"</f>
        <v>negarestanabi</v>
      </c>
    </row>
    <row r="2760" spans="1:7" x14ac:dyDescent="0.25">
      <c r="A2760" t="str">
        <f>"Carbonate Systems During the Olicocene-Miocene Climatic Transition"</f>
        <v>Carbonate Systems During the Olicocene-Miocene Climatic Transition</v>
      </c>
      <c r="B2760" t="str">
        <f>"9781444337914"</f>
        <v>9781444337914</v>
      </c>
      <c r="C2760">
        <v>46</v>
      </c>
      <c r="D2760" t="str">
        <f>"USD"</f>
        <v>USD</v>
      </c>
      <c r="E2760" t="str">
        <f>"2010"</f>
        <v>2010</v>
      </c>
      <c r="F2760" t="str">
        <f>"Mutti"</f>
        <v>Mutti</v>
      </c>
      <c r="G2760" t="str">
        <f>"avanddanesh"</f>
        <v>avanddanesh</v>
      </c>
    </row>
    <row r="2761" spans="1:7" x14ac:dyDescent="0.25">
      <c r="A2761" t="str">
        <f>"CASES IN ENVIRONMENTAL POLITICS: STAKEHOLDERS, INTEREST"</f>
        <v>CASES IN ENVIRONMENTAL POLITICS: STAKEHOLDERS, INTEREST</v>
      </c>
      <c r="B2761" t="str">
        <f>"9780415961042"</f>
        <v>9780415961042</v>
      </c>
      <c r="C2761">
        <v>8.09</v>
      </c>
      <c r="D2761" t="str">
        <f>"GBP"</f>
        <v>GBP</v>
      </c>
      <c r="E2761" t="str">
        <f>"2009"</f>
        <v>2009</v>
      </c>
      <c r="F2761" t="str">
        <f>"N. MILLER"</f>
        <v>N. MILLER</v>
      </c>
      <c r="G2761" t="str">
        <f>"AsarBartar"</f>
        <v>AsarBartar</v>
      </c>
    </row>
    <row r="2762" spans="1:7" x14ac:dyDescent="0.25">
      <c r="A2762" t="str">
        <f>"Cause and Correlation in Biology"</f>
        <v>Cause and Correlation in Biology</v>
      </c>
      <c r="B2762" t="str">
        <f>"9781107434271"</f>
        <v>9781107434271</v>
      </c>
      <c r="C2762">
        <v>58.5</v>
      </c>
      <c r="D2762" t="str">
        <f>"USD"</f>
        <v>USD</v>
      </c>
      <c r="E2762" t="str">
        <f>"2016"</f>
        <v>2016</v>
      </c>
      <c r="F2762" t="str">
        <f>"shipley"</f>
        <v>shipley</v>
      </c>
      <c r="G2762" t="str">
        <f>"dehkadehketab"</f>
        <v>dehkadehketab</v>
      </c>
    </row>
    <row r="2763" spans="1:7" x14ac:dyDescent="0.25">
      <c r="A2763" t="str">
        <f>"Cellular Flows : Topological Metamorphoses in Fluid Mechanics"</f>
        <v>Cellular Flows : Topological Metamorphoses in Fluid Mechanics</v>
      </c>
      <c r="B2763" t="str">
        <f>"9781108418621"</f>
        <v>9781108418621</v>
      </c>
      <c r="C2763">
        <v>123.3</v>
      </c>
      <c r="D2763" t="str">
        <f>"GBP"</f>
        <v>GBP</v>
      </c>
      <c r="E2763" t="str">
        <f>"2018"</f>
        <v>2018</v>
      </c>
      <c r="F2763" t="str">
        <f>"Shtern"</f>
        <v>Shtern</v>
      </c>
      <c r="G2763" t="str">
        <f>"arzinbooks"</f>
        <v>arzinbooks</v>
      </c>
    </row>
    <row r="2764" spans="1:7" x14ac:dyDescent="0.25">
      <c r="A2764" t="str">
        <f>"Central European Stream Ecosystems: The Long Term Study of the Breitenbach"</f>
        <v>Central European Stream Ecosystems: The Long Term Study of the Breitenbach</v>
      </c>
      <c r="B2764" t="str">
        <f>"9783527329526"</f>
        <v>9783527329526</v>
      </c>
      <c r="C2764">
        <v>101.2</v>
      </c>
      <c r="D2764" t="str">
        <f>"USD"</f>
        <v>USD</v>
      </c>
      <c r="E2764" t="str">
        <f>"2011"</f>
        <v>2011</v>
      </c>
      <c r="F2764" t="str">
        <f>"Wagner"</f>
        <v>Wagner</v>
      </c>
      <c r="G2764" t="str">
        <f>"avanddanesh"</f>
        <v>avanddanesh</v>
      </c>
    </row>
    <row r="2765" spans="1:7" x14ac:dyDescent="0.25">
      <c r="A2765" t="str">
        <f>"Changing Cold Environments: A Canadian Perspective"</f>
        <v>Changing Cold Environments: A Canadian Perspective</v>
      </c>
      <c r="B2765" t="str">
        <f>"9780470699690"</f>
        <v>9780470699690</v>
      </c>
      <c r="C2765">
        <v>24</v>
      </c>
      <c r="D2765" t="str">
        <f>"USD"</f>
        <v>USD</v>
      </c>
      <c r="E2765" t="str">
        <f>"2011"</f>
        <v>2011</v>
      </c>
      <c r="F2765" t="str">
        <f>"French"</f>
        <v>French</v>
      </c>
      <c r="G2765" t="str">
        <f>"avanddanesh"</f>
        <v>avanddanesh</v>
      </c>
    </row>
    <row r="2766" spans="1:7" x14ac:dyDescent="0.25">
      <c r="A2766" t="str">
        <f>"CHANGING GOVERNANCE OF RENEWABLE NATURAL RESOURCES IN NORTHWEST RUSSIA, THE  HB"</f>
        <v>CHANGING GOVERNANCE OF RENEWABLE NATURAL RESOURCES IN NORTHWEST RUSSIA, THE  HB</v>
      </c>
      <c r="B2766" t="str">
        <f>"9780754675310"</f>
        <v>9780754675310</v>
      </c>
      <c r="C2766">
        <v>66.5</v>
      </c>
      <c r="D2766" t="str">
        <f>"GBP"</f>
        <v>GBP</v>
      </c>
      <c r="E2766" t="str">
        <f>"2009"</f>
        <v>2009</v>
      </c>
      <c r="F2766" t="str">
        <f>"Nysten-Haarala"</f>
        <v>Nysten-Haarala</v>
      </c>
      <c r="G2766" t="str">
        <f>"supply"</f>
        <v>supply</v>
      </c>
    </row>
    <row r="2767" spans="1:7" x14ac:dyDescent="0.25">
      <c r="A2767" t="str">
        <f>"Changing Land Use Patterns in the Coastal Zone"</f>
        <v>Changing Land Use Patterns in the Coastal Zone</v>
      </c>
      <c r="B2767" t="str">
        <f>"9780387284323"</f>
        <v>9780387284323</v>
      </c>
      <c r="C2767">
        <v>48</v>
      </c>
      <c r="D2767" t="str">
        <f t="shared" ref="D2767:D2774" si="184">"USD"</f>
        <v>USD</v>
      </c>
      <c r="E2767" t="str">
        <f>"2006"</f>
        <v>2006</v>
      </c>
      <c r="F2767" t="str">
        <f>"Kleppel,G.S.(Eds)"</f>
        <v>Kleppel,G.S.(Eds)</v>
      </c>
      <c r="G2767" t="str">
        <f>"safirketab"</f>
        <v>safirketab</v>
      </c>
    </row>
    <row r="2768" spans="1:7" x14ac:dyDescent="0.25">
      <c r="A2768" t="str">
        <f>"Chemical Ecology"</f>
        <v>Chemical Ecology</v>
      </c>
      <c r="B2768" t="str">
        <f>"9781848219243"</f>
        <v>9781848219243</v>
      </c>
      <c r="C2768">
        <v>114.8</v>
      </c>
      <c r="D2768" t="str">
        <f t="shared" si="184"/>
        <v>USD</v>
      </c>
      <c r="E2768" t="str">
        <f>"2016"</f>
        <v>2016</v>
      </c>
      <c r="F2768" t="str">
        <f>"BagnÃ¨res"</f>
        <v>BagnÃ¨res</v>
      </c>
      <c r="G2768" t="str">
        <f>"avanddanesh"</f>
        <v>avanddanesh</v>
      </c>
    </row>
    <row r="2769" spans="1:7" x14ac:dyDescent="0.25">
      <c r="A2769" t="str">
        <f>"Chemical Marine Monitoring: Policy Framework and Analytical Trends"</f>
        <v>Chemical Marine Monitoring: Policy Framework and Analytical Trends</v>
      </c>
      <c r="B2769" t="str">
        <f>"9780470747650"</f>
        <v>9780470747650</v>
      </c>
      <c r="C2769">
        <v>60</v>
      </c>
      <c r="D2769" t="str">
        <f t="shared" si="184"/>
        <v>USD</v>
      </c>
      <c r="E2769" t="str">
        <f>"2011"</f>
        <v>2011</v>
      </c>
      <c r="F2769" t="str">
        <f>"Quevauviller"</f>
        <v>Quevauviller</v>
      </c>
      <c r="G2769" t="str">
        <f>"avanddanesh"</f>
        <v>avanddanesh</v>
      </c>
    </row>
    <row r="2770" spans="1:7" x14ac:dyDescent="0.25">
      <c r="A2770" t="str">
        <f>"Chemometrics: Statistics and Computer Application in Analytical Chemistry,3e"</f>
        <v>Chemometrics: Statistics and Computer Application in Analytical Chemistry,3e</v>
      </c>
      <c r="B2770" t="str">
        <f>"9783527340972"</f>
        <v>9783527340972</v>
      </c>
      <c r="C2770">
        <v>93.5</v>
      </c>
      <c r="D2770" t="str">
        <f t="shared" si="184"/>
        <v>USD</v>
      </c>
      <c r="E2770" t="str">
        <f>"2016"</f>
        <v>2016</v>
      </c>
      <c r="F2770" t="str">
        <f>"Otto"</f>
        <v>Otto</v>
      </c>
      <c r="G2770" t="str">
        <f>"avanddanesh"</f>
        <v>avanddanesh</v>
      </c>
    </row>
    <row r="2771" spans="1:7" x14ac:dyDescent="0.25">
      <c r="A2771" t="str">
        <f>"Chernobyl - Consequences of the Catastrophe for People and Nature"</f>
        <v>Chernobyl - Consequences of the Catastrophe for People and Nature</v>
      </c>
      <c r="B2771" t="str">
        <f>"9781573317573"</f>
        <v>9781573317573</v>
      </c>
      <c r="C2771">
        <v>97.5</v>
      </c>
      <c r="D2771" t="str">
        <f t="shared" si="184"/>
        <v>USD</v>
      </c>
      <c r="E2771" t="str">
        <f>"2010"</f>
        <v>2010</v>
      </c>
      <c r="F2771" t="str">
        <f>"Yablokov"</f>
        <v>Yablokov</v>
      </c>
      <c r="G2771" t="str">
        <f>"safirketab"</f>
        <v>safirketab</v>
      </c>
    </row>
    <row r="2772" spans="1:7" x14ac:dyDescent="0.25">
      <c r="A2772" t="str">
        <f>"Civil and Environmental Engineering: Concepts, Methodologies, Tools, and Applications; 3 Volumes Set"</f>
        <v>Civil and Environmental Engineering: Concepts, Methodologies, Tools, and Applications; 3 Volumes Set</v>
      </c>
      <c r="B2772" t="str">
        <f>"9781466696198"</f>
        <v>9781466696198</v>
      </c>
      <c r="C2772">
        <v>1462.5</v>
      </c>
      <c r="D2772" t="str">
        <f t="shared" si="184"/>
        <v>USD</v>
      </c>
      <c r="E2772" t="str">
        <f>"2016"</f>
        <v>2016</v>
      </c>
      <c r="F2772" t="str">
        <f>"Information Resource"</f>
        <v>Information Resource</v>
      </c>
      <c r="G2772" t="str">
        <f>"arzinbooks"</f>
        <v>arzinbooks</v>
      </c>
    </row>
    <row r="2773" spans="1:7" x14ac:dyDescent="0.25">
      <c r="A2773" t="str">
        <f>"Civil and Environmental Systems Engineering, 2e"</f>
        <v>Civil and Environmental Systems Engineering, 2e</v>
      </c>
      <c r="B2773" t="str">
        <f>"9789332575752"</f>
        <v>9789332575752</v>
      </c>
      <c r="C2773">
        <v>11.9</v>
      </c>
      <c r="D2773" t="str">
        <f t="shared" si="184"/>
        <v>USD</v>
      </c>
      <c r="E2773" t="str">
        <f>"2016"</f>
        <v>2016</v>
      </c>
      <c r="F2773" t="str">
        <f>"Revelle"</f>
        <v>Revelle</v>
      </c>
      <c r="G2773" t="str">
        <f>"jahanadib"</f>
        <v>jahanadib</v>
      </c>
    </row>
    <row r="2774" spans="1:7" x14ac:dyDescent="0.25">
      <c r="A2774" t="str">
        <f>"Civil and Environmental Systems Engineering, 2e"</f>
        <v>Civil and Environmental Systems Engineering, 2e</v>
      </c>
      <c r="B2774" t="str">
        <f>"9789332575752"</f>
        <v>9789332575752</v>
      </c>
      <c r="C2774">
        <v>11.9</v>
      </c>
      <c r="D2774" t="str">
        <f t="shared" si="184"/>
        <v>USD</v>
      </c>
      <c r="E2774" t="str">
        <f>"2016"</f>
        <v>2016</v>
      </c>
      <c r="F2774" t="str">
        <f>"Revelle"</f>
        <v>Revelle</v>
      </c>
      <c r="G2774" t="str">
        <f>"safirketab"</f>
        <v>safirketab</v>
      </c>
    </row>
    <row r="2775" spans="1:7" x14ac:dyDescent="0.25">
      <c r="A2775" t="str">
        <f>"Clean Air Handbook"</f>
        <v>Clean Air Handbook</v>
      </c>
      <c r="B2775" t="str">
        <f>"9781598886474"</f>
        <v>9781598886474</v>
      </c>
      <c r="C2775">
        <v>60</v>
      </c>
      <c r="D2775" t="str">
        <f>"GBP"</f>
        <v>GBP</v>
      </c>
      <c r="E2775" t="str">
        <f>"2014"</f>
        <v>2014</v>
      </c>
      <c r="F2775" t="str">
        <f>"Hunton &amp; Williams"</f>
        <v>Hunton &amp; Williams</v>
      </c>
      <c r="G2775" t="str">
        <f>"AsarBartar"</f>
        <v>AsarBartar</v>
      </c>
    </row>
    <row r="2776" spans="1:7" x14ac:dyDescent="0.25">
      <c r="A2776" t="str">
        <f>"Cleanup of Chemical and Explosive Munitions, Location, Identification and Environmental Remediation, 2nd Edition"</f>
        <v>Cleanup of Chemical and Explosive Munitions, Location, Identification and Environmental Remediation, 2nd Edition</v>
      </c>
      <c r="B2776" t="str">
        <f>"9780128103586"</f>
        <v>9780128103586</v>
      </c>
      <c r="C2776">
        <v>144</v>
      </c>
      <c r="D2776" t="str">
        <f>"USD"</f>
        <v>USD</v>
      </c>
      <c r="E2776" t="str">
        <f>"2017"</f>
        <v>2017</v>
      </c>
      <c r="F2776" t="str">
        <f>"Albright"</f>
        <v>Albright</v>
      </c>
      <c r="G2776" t="str">
        <f>"dehkadehketab"</f>
        <v>dehkadehketab</v>
      </c>
    </row>
    <row r="2777" spans="1:7" x14ac:dyDescent="0.25">
      <c r="A2777" t="str">
        <f>"Climate Adaptation Governance in Cities and Regions: Theoretical Fundamentals and Practical Evidence"</f>
        <v>Climate Adaptation Governance in Cities and Regions: Theoretical Fundamentals and Practical Evidence</v>
      </c>
      <c r="B2777" t="str">
        <f>"9781118451717"</f>
        <v>9781118451717</v>
      </c>
      <c r="C2777">
        <v>106.3</v>
      </c>
      <c r="D2777" t="str">
        <f>"USD"</f>
        <v>USD</v>
      </c>
      <c r="E2777" t="str">
        <f>"2016"</f>
        <v>2016</v>
      </c>
      <c r="F2777" t="str">
        <f>"Knieling"</f>
        <v>Knieling</v>
      </c>
      <c r="G2777" t="str">
        <f>"avanddanesh"</f>
        <v>avanddanesh</v>
      </c>
    </row>
    <row r="2778" spans="1:7" x14ac:dyDescent="0.25">
      <c r="A2778" t="str">
        <f>"Climate Change Adaptation in New York City: Building a Risk Management Response"</f>
        <v>Climate Change Adaptation in New York City: Building a Risk Management Response</v>
      </c>
      <c r="B2778" t="str">
        <f>"9781573318006"</f>
        <v>9781573318006</v>
      </c>
      <c r="C2778">
        <v>28.98</v>
      </c>
      <c r="D2778" t="str">
        <f>"USD"</f>
        <v>USD</v>
      </c>
      <c r="E2778" t="str">
        <f>"2010"</f>
        <v>2010</v>
      </c>
      <c r="F2778" t="str">
        <f>"NYCPCC"</f>
        <v>NYCPCC</v>
      </c>
      <c r="G2778" t="str">
        <f>"safirketab"</f>
        <v>safirketab</v>
      </c>
    </row>
    <row r="2779" spans="1:7" x14ac:dyDescent="0.25">
      <c r="A2779" t="str">
        <f>"Climate Change and Air Pollution: The Impact on Human Health in Developed and Developing Countries"</f>
        <v>Climate Change and Air Pollution: The Impact on Human Health in Developed and Developing Countries</v>
      </c>
      <c r="B2779" t="str">
        <f>"9783319613451"</f>
        <v>9783319613451</v>
      </c>
      <c r="C2779">
        <v>134.99</v>
      </c>
      <c r="D2779" t="str">
        <f>"EUR"</f>
        <v>EUR</v>
      </c>
      <c r="E2779" t="str">
        <f>"2018"</f>
        <v>2018</v>
      </c>
      <c r="F2779" t="str">
        <f>"Akhtar"</f>
        <v>Akhtar</v>
      </c>
      <c r="G2779" t="str">
        <f>"negarestanabi"</f>
        <v>negarestanabi</v>
      </c>
    </row>
    <row r="2780" spans="1:7" x14ac:dyDescent="0.25">
      <c r="A2780" t="str">
        <f>"CLIMATE CHANGE AND DISPLACEMENT: MULTIDISCIPLINARY PERS"</f>
        <v>CLIMATE CHANGE AND DISPLACEMENT: MULTIDISCIPLINARY PERS</v>
      </c>
      <c r="B2780" t="str">
        <f>"9781849460385"</f>
        <v>9781849460385</v>
      </c>
      <c r="C2780">
        <v>14.1</v>
      </c>
      <c r="D2780" t="str">
        <f>"GBP"</f>
        <v>GBP</v>
      </c>
      <c r="E2780" t="str">
        <f>"2010"</f>
        <v>2010</v>
      </c>
      <c r="F2780" t="str">
        <f>"JANE MCADAM(EDITOR)"</f>
        <v>JANE MCADAM(EDITOR)</v>
      </c>
      <c r="G2780" t="str">
        <f>"AsarBartar"</f>
        <v>AsarBartar</v>
      </c>
    </row>
    <row r="2781" spans="1:7" x14ac:dyDescent="0.25">
      <c r="A2781" t="str">
        <f>"Climate Change Finance and International Law (Routledge Advances in Climate Change Research)"</f>
        <v>Climate Change Finance and International Law (Routledge Advances in Climate Change Research)</v>
      </c>
      <c r="B2781" t="str">
        <f>"9780415708388"</f>
        <v>9780415708388</v>
      </c>
      <c r="C2781">
        <v>72.25</v>
      </c>
      <c r="D2781" t="str">
        <f>"GBP"</f>
        <v>GBP</v>
      </c>
      <c r="E2781" t="str">
        <f>"2016"</f>
        <v>2016</v>
      </c>
      <c r="F2781" t="str">
        <f>"Alexander Zahar"</f>
        <v>Alexander Zahar</v>
      </c>
      <c r="G2781" t="str">
        <f>"AsarBartar"</f>
        <v>AsarBartar</v>
      </c>
    </row>
    <row r="2782" spans="1:7" x14ac:dyDescent="0.25">
      <c r="A2782" t="str">
        <f>"Climate Change Impacts on Fisheries and Aquaculture: A Global Analysis"</f>
        <v>Climate Change Impacts on Fisheries and Aquaculture: A Global Analysis</v>
      </c>
      <c r="B2782" t="str">
        <f>"9781119154044"</f>
        <v>9781119154044</v>
      </c>
      <c r="C2782">
        <v>283.5</v>
      </c>
      <c r="D2782" t="str">
        <f>"USD"</f>
        <v>USD</v>
      </c>
      <c r="E2782" t="str">
        <f>"2017"</f>
        <v>2017</v>
      </c>
      <c r="F2782" t="str">
        <f>"Phillips"</f>
        <v>Phillips</v>
      </c>
      <c r="G2782" t="str">
        <f>"avanddanesh"</f>
        <v>avanddanesh</v>
      </c>
    </row>
    <row r="2783" spans="1:7" x14ac:dyDescent="0.25">
      <c r="A2783" t="str">
        <f>"Climate Change Impacts on Freshwater Ecosystems"</f>
        <v>Climate Change Impacts on Freshwater Ecosystems</v>
      </c>
      <c r="B2783" t="str">
        <f>"9781405179133"</f>
        <v>9781405179133</v>
      </c>
      <c r="C2783">
        <v>30</v>
      </c>
      <c r="D2783" t="str">
        <f>"USD"</f>
        <v>USD</v>
      </c>
      <c r="E2783" t="str">
        <f>"2010"</f>
        <v>2010</v>
      </c>
      <c r="F2783" t="str">
        <f>"Kernan"</f>
        <v>Kernan</v>
      </c>
      <c r="G2783" t="str">
        <f>"avanddanesh"</f>
        <v>avanddanesh</v>
      </c>
    </row>
    <row r="2784" spans="1:7" x14ac:dyDescent="0.25">
      <c r="A2784" t="str">
        <f>"Climate Change Impacts on the Stability of Small Tidal Inlets"</f>
        <v>Climate Change Impacts on the Stability of Small Tidal Inlets</v>
      </c>
      <c r="B2784" t="str">
        <f>"9781138029446"</f>
        <v>9781138029446</v>
      </c>
      <c r="C2784">
        <v>33.15</v>
      </c>
      <c r="D2784" t="str">
        <f>"GBP"</f>
        <v>GBP</v>
      </c>
      <c r="E2784" t="str">
        <f>"2016"</f>
        <v>2016</v>
      </c>
      <c r="F2784" t="str">
        <f>"Duong Minh Trang"</f>
        <v>Duong Minh Trang</v>
      </c>
      <c r="G2784" t="str">
        <f>"AsarBartar"</f>
        <v>AsarBartar</v>
      </c>
    </row>
    <row r="2785" spans="1:7" x14ac:dyDescent="0.25">
      <c r="A2785" t="str">
        <f>"Climate Change, Observed Impacts On Planet Earth,"</f>
        <v>Climate Change, Observed Impacts On Planet Earth,</v>
      </c>
      <c r="B2785" t="str">
        <f>"9780444635242"</f>
        <v>9780444635242</v>
      </c>
      <c r="C2785">
        <v>90</v>
      </c>
      <c r="D2785" t="str">
        <f>"USD"</f>
        <v>USD</v>
      </c>
      <c r="E2785" t="str">
        <f>"2015"</f>
        <v>2015</v>
      </c>
      <c r="F2785" t="str">
        <f>"N/A*"</f>
        <v>N/A*</v>
      </c>
      <c r="G2785" t="str">
        <f>"dehkadehketab"</f>
        <v>dehkadehketab</v>
      </c>
    </row>
    <row r="2786" spans="1:7" x14ac:dyDescent="0.25">
      <c r="A2786" t="str">
        <f>"Climate Change, Observed Impacts on Planet Earth, 2nd Edition"</f>
        <v>Climate Change, Observed Impacts on Planet Earth, 2nd Edition</v>
      </c>
      <c r="B2786" t="str">
        <f>"9780444635242"</f>
        <v>9780444635242</v>
      </c>
      <c r="C2786">
        <v>89.95</v>
      </c>
      <c r="D2786" t="str">
        <f>"USD"</f>
        <v>USD</v>
      </c>
      <c r="E2786" t="str">
        <f>"2015"</f>
        <v>2015</v>
      </c>
      <c r="F2786" t="str">
        <f>"Letcher"</f>
        <v>Letcher</v>
      </c>
      <c r="G2786" t="str">
        <f>"arang"</f>
        <v>arang</v>
      </c>
    </row>
    <row r="2787" spans="1:7" x14ac:dyDescent="0.25">
      <c r="A2787" t="str">
        <f>"Climate Change: What the Science Tells Us"</f>
        <v>Climate Change: What the Science Tells Us</v>
      </c>
      <c r="B2787" t="str">
        <f>"9781118057537"</f>
        <v>9781118057537</v>
      </c>
      <c r="C2787">
        <v>160.6</v>
      </c>
      <c r="D2787" t="str">
        <f>"USD"</f>
        <v>USD</v>
      </c>
      <c r="E2787" t="str">
        <f>"2013"</f>
        <v>2013</v>
      </c>
      <c r="F2787" t="str">
        <f>"Fletcher"</f>
        <v>Fletcher</v>
      </c>
      <c r="G2787" t="str">
        <f>"avanddanesh"</f>
        <v>avanddanesh</v>
      </c>
    </row>
    <row r="2788" spans="1:7" x14ac:dyDescent="0.25">
      <c r="A2788" t="str">
        <f>"Climate Extremes: Patterns and Mechanisms"</f>
        <v>Climate Extremes: Patterns and Mechanisms</v>
      </c>
      <c r="B2788" t="str">
        <f>"9781119067849"</f>
        <v>9781119067849</v>
      </c>
      <c r="C2788">
        <v>180</v>
      </c>
      <c r="D2788" t="str">
        <f>"USD"</f>
        <v>USD</v>
      </c>
      <c r="E2788" t="str">
        <f>"2017"</f>
        <v>2017</v>
      </c>
      <c r="F2788" t="str">
        <f>"Wang"</f>
        <v>Wang</v>
      </c>
      <c r="G2788" t="str">
        <f>"avanddanesh"</f>
        <v>avanddanesh</v>
      </c>
    </row>
    <row r="2789" spans="1:7" x14ac:dyDescent="0.25">
      <c r="A2789" t="str">
        <f>"Climate Forcing of Geological Hazards"</f>
        <v>Climate Forcing of Geological Hazards</v>
      </c>
      <c r="B2789" t="str">
        <f>"9780470658659"</f>
        <v>9780470658659</v>
      </c>
      <c r="C2789">
        <v>78</v>
      </c>
      <c r="D2789" t="str">
        <f>"USD"</f>
        <v>USD</v>
      </c>
      <c r="E2789" t="str">
        <f>"2013"</f>
        <v>2013</v>
      </c>
      <c r="F2789" t="str">
        <f>"McGuire"</f>
        <v>McGuire</v>
      </c>
      <c r="G2789" t="str">
        <f>"avanddanesh"</f>
        <v>avanddanesh</v>
      </c>
    </row>
    <row r="2790" spans="1:7" x14ac:dyDescent="0.25">
      <c r="A2790" t="str">
        <f>"Climate Health Risks in Megacities: Sustainable Management and Strategic Planning"</f>
        <v>Climate Health Risks in Megacities: Sustainable Management and Strategic Planning</v>
      </c>
      <c r="B2790" t="str">
        <f>"9781498767743"</f>
        <v>9781498767743</v>
      </c>
      <c r="C2790">
        <v>108.9</v>
      </c>
      <c r="D2790" t="str">
        <f>"GBP"</f>
        <v>GBP</v>
      </c>
      <c r="E2790" t="str">
        <f>"2017"</f>
        <v>2017</v>
      </c>
      <c r="F2790" t="str">
        <f>"Cesar Marolla"</f>
        <v>Cesar Marolla</v>
      </c>
      <c r="G2790" t="str">
        <f>"AsarBartar"</f>
        <v>AsarBartar</v>
      </c>
    </row>
    <row r="2791" spans="1:7" x14ac:dyDescent="0.25">
      <c r="A2791" t="str">
        <f>"Climate in Context: Science and Society Partnering for Adaptation"</f>
        <v>Climate in Context: Science and Society Partnering for Adaptation</v>
      </c>
      <c r="B2791" t="str">
        <f>"9781118474792"</f>
        <v>9781118474792</v>
      </c>
      <c r="C2791">
        <v>85</v>
      </c>
      <c r="D2791" t="str">
        <f>"USD"</f>
        <v>USD</v>
      </c>
      <c r="E2791" t="str">
        <f>"2016"</f>
        <v>2016</v>
      </c>
      <c r="F2791" t="str">
        <f>"Parris"</f>
        <v>Parris</v>
      </c>
      <c r="G2791" t="str">
        <f>"avanddanesh"</f>
        <v>avanddanesh</v>
      </c>
    </row>
    <row r="2792" spans="1:7" x14ac:dyDescent="0.25">
      <c r="A2792" t="str">
        <f>"Climate Policy: International Perspectives on Greenhouse Gases"</f>
        <v>Climate Policy: International Perspectives on Greenhouse Gases</v>
      </c>
      <c r="B2792" t="str">
        <f>"9781771884143"</f>
        <v>9781771884143</v>
      </c>
      <c r="C2792">
        <v>80.75</v>
      </c>
      <c r="D2792" t="str">
        <f>"GBP"</f>
        <v>GBP</v>
      </c>
      <c r="E2792" t="str">
        <f>"2016"</f>
        <v>2016</v>
      </c>
      <c r="F2792" t="str">
        <f>"Gabriela Ionescu(Ed"</f>
        <v>Gabriela Ionescu(Ed</v>
      </c>
      <c r="G2792" t="str">
        <f>"AsarBartar"</f>
        <v>AsarBartar</v>
      </c>
    </row>
    <row r="2793" spans="1:7" x14ac:dyDescent="0.25">
      <c r="A2793" t="str">
        <f>"Climatic Change and Global Warming of Inland Waters: Impacts and Mitigation for Ecosystems and Societies"</f>
        <v>Climatic Change and Global Warming of Inland Waters: Impacts and Mitigation for Ecosystems and Societies</v>
      </c>
      <c r="B2793" t="str">
        <f>"9781119968665"</f>
        <v>9781119968665</v>
      </c>
      <c r="C2793">
        <v>69</v>
      </c>
      <c r="D2793" t="str">
        <f>"USD"</f>
        <v>USD</v>
      </c>
      <c r="E2793" t="str">
        <f>"2012"</f>
        <v>2012</v>
      </c>
      <c r="F2793" t="str">
        <f>"Goldman"</f>
        <v>Goldman</v>
      </c>
      <c r="G2793" t="str">
        <f>"avanddanesh"</f>
        <v>avanddanesh</v>
      </c>
    </row>
    <row r="2794" spans="1:7" x14ac:dyDescent="0.25">
      <c r="A2794" t="str">
        <f>"Coal And Peat Fires: A Global Perspective, Volume"</f>
        <v>Coal And Peat Fires: A Global Perspective, Volume</v>
      </c>
      <c r="B2794" t="str">
        <f>"9780444595102"</f>
        <v>9780444595102</v>
      </c>
      <c r="C2794">
        <v>157.5</v>
      </c>
      <c r="D2794" t="str">
        <f>"USD"</f>
        <v>USD</v>
      </c>
      <c r="E2794" t="str">
        <f>"2015"</f>
        <v>2015</v>
      </c>
      <c r="F2794" t="str">
        <f>"N/A*"</f>
        <v>N/A*</v>
      </c>
      <c r="G2794" t="str">
        <f>"dehkadehketab"</f>
        <v>dehkadehketab</v>
      </c>
    </row>
    <row r="2795" spans="1:7" x14ac:dyDescent="0.25">
      <c r="A2795" t="str">
        <f>"Coal in the 21st Century : Energy Needs, Chemicals and Environmental Controls"</f>
        <v>Coal in the 21st Century : Energy Needs, Chemicals and Environmental Controls</v>
      </c>
      <c r="B2795" t="str">
        <f>"9781782628606"</f>
        <v>9781782628606</v>
      </c>
      <c r="C2795">
        <v>59.5</v>
      </c>
      <c r="D2795" t="str">
        <f>"GBP"</f>
        <v>GBP</v>
      </c>
      <c r="E2795" t="str">
        <f>"2018"</f>
        <v>2018</v>
      </c>
      <c r="F2795" t="str">
        <f>"R E Hester,R M Harri"</f>
        <v>R E Hester,R M Harri</v>
      </c>
      <c r="G2795" t="str">
        <f>"arzinbooks"</f>
        <v>arzinbooks</v>
      </c>
    </row>
    <row r="2796" spans="1:7" x14ac:dyDescent="0.25">
      <c r="A2796" t="str">
        <f>"Coal-Fired Electricity and Emissions Control , Efficiency and Effectiveness"</f>
        <v>Coal-Fired Electricity and Emissions Control , Efficiency and Effectiveness</v>
      </c>
      <c r="B2796" t="str">
        <f>"9780128092408"</f>
        <v>9780128092408</v>
      </c>
      <c r="C2796">
        <v>135</v>
      </c>
      <c r="D2796" t="str">
        <f>"USD"</f>
        <v>USD</v>
      </c>
      <c r="E2796" t="str">
        <f>"2018"</f>
        <v>2018</v>
      </c>
      <c r="F2796" t="str">
        <f>"Tillman"</f>
        <v>Tillman</v>
      </c>
      <c r="G2796" t="str">
        <f>"dehkadehketab"</f>
        <v>dehkadehketab</v>
      </c>
    </row>
    <row r="2797" spans="1:7" x14ac:dyDescent="0.25">
      <c r="A2797" t="str">
        <f>"Coastal Engineering: Processes, Theory And Design Practic, 2/e"</f>
        <v>Coastal Engineering: Processes, Theory And Design Practic, 2/e</v>
      </c>
      <c r="B2797" t="str">
        <f>"9780415583527"</f>
        <v>9780415583527</v>
      </c>
      <c r="C2797">
        <v>27.2</v>
      </c>
      <c r="D2797" t="str">
        <f>"USD"</f>
        <v>USD</v>
      </c>
      <c r="E2797" t="str">
        <f>"2015"</f>
        <v>2015</v>
      </c>
      <c r="F2797" t="str">
        <f>"Chadwick"</f>
        <v>Chadwick</v>
      </c>
      <c r="G2797" t="str">
        <f>"jahanadib"</f>
        <v>jahanadib</v>
      </c>
    </row>
    <row r="2798" spans="1:7" x14ac:dyDescent="0.25">
      <c r="A2798" t="str">
        <f>"COASTAL PROCESSES, HB"</f>
        <v>COASTAL PROCESSES, HB</v>
      </c>
      <c r="B2798" t="str">
        <f>"9781845642006"</f>
        <v>9781845642006</v>
      </c>
      <c r="C2798">
        <v>98</v>
      </c>
      <c r="D2798" t="str">
        <f>"GBP"</f>
        <v>GBP</v>
      </c>
      <c r="E2798" t="str">
        <f>"2009"</f>
        <v>2009</v>
      </c>
      <c r="F2798" t="str">
        <f>"Brebbia"</f>
        <v>Brebbia</v>
      </c>
      <c r="G2798" t="str">
        <f>"supply"</f>
        <v>supply</v>
      </c>
    </row>
    <row r="2799" spans="1:7" x14ac:dyDescent="0.25">
      <c r="A2799" t="str">
        <f>"Coastal Storms: Processes and Impacts"</f>
        <v>Coastal Storms: Processes and Impacts</v>
      </c>
      <c r="B2799" t="str">
        <f>"9781118937105"</f>
        <v>9781118937105</v>
      </c>
      <c r="C2799">
        <v>103.5</v>
      </c>
      <c r="D2799" t="str">
        <f>"USD"</f>
        <v>USD</v>
      </c>
      <c r="E2799" t="str">
        <f>"2017"</f>
        <v>2017</v>
      </c>
      <c r="F2799" t="str">
        <f>"Ciavola"</f>
        <v>Ciavola</v>
      </c>
      <c r="G2799" t="str">
        <f>"avanddanesh"</f>
        <v>avanddanesh</v>
      </c>
    </row>
    <row r="2800" spans="1:7" x14ac:dyDescent="0.25">
      <c r="A2800" t="str">
        <f>"COASTAL WATERSHED MANAGEMENT, HB"</f>
        <v>COASTAL WATERSHED MANAGEMENT, HB</v>
      </c>
      <c r="B2800" t="str">
        <f>"9781845640910"</f>
        <v>9781845640910</v>
      </c>
      <c r="C2800">
        <v>111.3</v>
      </c>
      <c r="D2800" t="str">
        <f>"GBP"</f>
        <v>GBP</v>
      </c>
      <c r="E2800" t="str">
        <f>"2008"</f>
        <v>2008</v>
      </c>
      <c r="F2800" t="str">
        <f>"Fares"</f>
        <v>Fares</v>
      </c>
      <c r="G2800" t="str">
        <f>"supply"</f>
        <v>supply</v>
      </c>
    </row>
    <row r="2801" spans="1:7" x14ac:dyDescent="0.25">
      <c r="A2801" t="str">
        <f>"Coherent Flow Structures at Earth's Surface"</f>
        <v>Coherent Flow Structures at Earth's Surface</v>
      </c>
      <c r="B2801" t="str">
        <f>"9781119962779"</f>
        <v>9781119962779</v>
      </c>
      <c r="C2801">
        <v>81.3</v>
      </c>
      <c r="D2801" t="str">
        <f>"USD"</f>
        <v>USD</v>
      </c>
      <c r="E2801" t="str">
        <f>"2013"</f>
        <v>2013</v>
      </c>
      <c r="F2801" t="str">
        <f>"Venditti"</f>
        <v>Venditti</v>
      </c>
      <c r="G2801" t="str">
        <f>"avanddanesh"</f>
        <v>avanddanesh</v>
      </c>
    </row>
    <row r="2802" spans="1:7" x14ac:dyDescent="0.25">
      <c r="A2802" t="str">
        <f>"Cold Tolerance in Rice Cultivation"</f>
        <v>Cold Tolerance in Rice Cultivation</v>
      </c>
      <c r="B2802" t="str">
        <f>"9781482245172"</f>
        <v>9781482245172</v>
      </c>
      <c r="C2802">
        <v>68.8</v>
      </c>
      <c r="D2802" t="str">
        <f>"GBP"</f>
        <v>GBP</v>
      </c>
      <c r="E2802" t="str">
        <f>"2014"</f>
        <v>2014</v>
      </c>
      <c r="F2802" t="str">
        <f>"Pranab Basuchaudhur"</f>
        <v>Pranab Basuchaudhur</v>
      </c>
      <c r="G2802" t="str">
        <f>"AsarBartar"</f>
        <v>AsarBartar</v>
      </c>
    </row>
    <row r="2803" spans="1:7" x14ac:dyDescent="0.25">
      <c r="A2803" t="str">
        <f>"Colloid and Interface Chemistry for Water Quality Control"</f>
        <v>Colloid and Interface Chemistry for Water Quality Control</v>
      </c>
      <c r="B2803" t="str">
        <f>"9780128093153"</f>
        <v>9780128093153</v>
      </c>
      <c r="C2803">
        <v>180</v>
      </c>
      <c r="D2803" t="str">
        <f>"USD"</f>
        <v>USD</v>
      </c>
      <c r="E2803" t="str">
        <f>"2016"</f>
        <v>2016</v>
      </c>
      <c r="F2803" t="str">
        <f>"Chang"</f>
        <v>Chang</v>
      </c>
      <c r="G2803" t="str">
        <f>"arang"</f>
        <v>arang</v>
      </c>
    </row>
    <row r="2804" spans="1:7" x14ac:dyDescent="0.25">
      <c r="A2804" t="str">
        <f>"COMFORT IN A LOWER CARBON SOCIETY"</f>
        <v>COMFORT IN A LOWER CARBON SOCIETY</v>
      </c>
      <c r="B2804" t="str">
        <f>"9780415550895"</f>
        <v>9780415550895</v>
      </c>
      <c r="C2804">
        <v>24</v>
      </c>
      <c r="D2804" t="str">
        <f>"GBP"</f>
        <v>GBP</v>
      </c>
      <c r="E2804" t="str">
        <f>"2010"</f>
        <v>2010</v>
      </c>
      <c r="F2804" t="str">
        <f>"ELIZABETH SHOVE, HE"</f>
        <v>ELIZABETH SHOVE, HE</v>
      </c>
      <c r="G2804" t="str">
        <f>"AsarBartar"</f>
        <v>AsarBartar</v>
      </c>
    </row>
    <row r="2805" spans="1:7" x14ac:dyDescent="0.25">
      <c r="A2805" t="str">
        <f>"Competition for Water Resources, Experiences and Management Approaches in the US and Europe"</f>
        <v>Competition for Water Resources, Experiences and Management Approaches in the US and Europe</v>
      </c>
      <c r="B2805" t="str">
        <f>"9780128032374"</f>
        <v>9780128032374</v>
      </c>
      <c r="C2805">
        <v>108</v>
      </c>
      <c r="D2805" t="str">
        <f>"USD"</f>
        <v>USD</v>
      </c>
      <c r="E2805" t="str">
        <f>"2016"</f>
        <v>2016</v>
      </c>
      <c r="F2805" t="str">
        <f>"Ziolkowska and Peter"</f>
        <v>Ziolkowska and Peter</v>
      </c>
      <c r="G2805" t="str">
        <f>"arang"</f>
        <v>arang</v>
      </c>
    </row>
    <row r="2806" spans="1:7" x14ac:dyDescent="0.25">
      <c r="A2806" t="str">
        <f>"COMPLETE GUIDE ON INDUSTRIAL POLLUTION CONTROL, THE,  PB"</f>
        <v>COMPLETE GUIDE ON INDUSTRIAL POLLUTION CONTROL, THE,  PB</v>
      </c>
      <c r="B2806" t="str">
        <f>"9788178331409"</f>
        <v>9788178331409</v>
      </c>
      <c r="C2806">
        <v>26.25</v>
      </c>
      <c r="D2806" t="str">
        <f>"USD"</f>
        <v>USD</v>
      </c>
      <c r="E2806" t="str">
        <f>"2011"</f>
        <v>2011</v>
      </c>
      <c r="F2806" t="str">
        <f>"Panda"</f>
        <v>Panda</v>
      </c>
      <c r="G2806" t="str">
        <f>"supply"</f>
        <v>supply</v>
      </c>
    </row>
    <row r="2807" spans="1:7" x14ac:dyDescent="0.25">
      <c r="A2807" t="str">
        <f>"Comprehensive Environmental Studies"</f>
        <v>Comprehensive Environmental Studies</v>
      </c>
      <c r="B2807" t="str">
        <f>"9781842658772"</f>
        <v>9781842658772</v>
      </c>
      <c r="C2807">
        <v>41.97</v>
      </c>
      <c r="D2807" t="str">
        <f>"GBP"</f>
        <v>GBP</v>
      </c>
      <c r="E2807" t="str">
        <f>"2015"</f>
        <v>2015</v>
      </c>
      <c r="F2807" t="str">
        <f>"Bhattacharya"</f>
        <v>Bhattacharya</v>
      </c>
      <c r="G2807" t="str">
        <f>"jahanadib"</f>
        <v>jahanadib</v>
      </c>
    </row>
    <row r="2808" spans="1:7" x14ac:dyDescent="0.25">
      <c r="A2808" t="str">
        <f>"COMPUTATIONAL ECOLOGY: GRAPHS, NETWORKS AND AGENT-BASED MODELING"</f>
        <v>COMPUTATIONAL ECOLOGY: GRAPHS, NETWORKS AND AGENT-BASED MODELING</v>
      </c>
      <c r="B2808" t="str">
        <f>"9789814343619"</f>
        <v>9789814343619</v>
      </c>
      <c r="C2808">
        <v>61.8</v>
      </c>
      <c r="D2808" t="str">
        <f>"GBP"</f>
        <v>GBP</v>
      </c>
      <c r="E2808" t="str">
        <f>"2012"</f>
        <v>2012</v>
      </c>
      <c r="F2808" t="str">
        <f>"ZHANG WENJUN"</f>
        <v>ZHANG WENJUN</v>
      </c>
      <c r="G2808" t="str">
        <f>"AsarBartar"</f>
        <v>AsarBartar</v>
      </c>
    </row>
    <row r="2809" spans="1:7" x14ac:dyDescent="0.25">
      <c r="A2809" t="str">
        <f>"Computational Techniques for Modeling Atmospheric Processes"</f>
        <v>Computational Techniques for Modeling Atmospheric Processes</v>
      </c>
      <c r="B2809" t="str">
        <f>"9781522526360"</f>
        <v>9781522526360</v>
      </c>
      <c r="C2809">
        <v>164</v>
      </c>
      <c r="D2809" t="str">
        <f>"USD"</f>
        <v>USD</v>
      </c>
      <c r="E2809" t="str">
        <f>"2018"</f>
        <v>2018</v>
      </c>
      <c r="F2809" t="str">
        <f>"Vitaliy Prusov"</f>
        <v>Vitaliy Prusov</v>
      </c>
      <c r="G2809" t="str">
        <f>"arzinbooks"</f>
        <v>arzinbooks</v>
      </c>
    </row>
    <row r="2810" spans="1:7" x14ac:dyDescent="0.25">
      <c r="A2810" t="str">
        <f>"Condition and Health Indicators of Exploited Marine Fishes"</f>
        <v>Condition and Health Indicators of Exploited Marine Fishes</v>
      </c>
      <c r="B2810" t="str">
        <f>"9780470670248"</f>
        <v>9780470670248</v>
      </c>
      <c r="C2810">
        <v>127.5</v>
      </c>
      <c r="D2810" t="str">
        <f>"USD"</f>
        <v>USD</v>
      </c>
      <c r="E2810" t="str">
        <f>"2014"</f>
        <v>2014</v>
      </c>
      <c r="F2810" t="str">
        <f>"Lloret"</f>
        <v>Lloret</v>
      </c>
      <c r="G2810" t="str">
        <f>"avanddanesh"</f>
        <v>avanddanesh</v>
      </c>
    </row>
    <row r="2811" spans="1:7" x14ac:dyDescent="0.25">
      <c r="A2811" t="str">
        <f>"CONFRONTING BIOPIRACY - NIP"</f>
        <v>CONFRONTING BIOPIRACY - NIP</v>
      </c>
      <c r="B2811" t="str">
        <f>"9781849714327"</f>
        <v>9781849714327</v>
      </c>
      <c r="C2811">
        <v>18</v>
      </c>
      <c r="D2811" t="str">
        <f>"GBP"</f>
        <v>GBP</v>
      </c>
      <c r="E2811" t="str">
        <f>"2012"</f>
        <v>2012</v>
      </c>
      <c r="F2811" t="str">
        <f>"ROBINSON"</f>
        <v>ROBINSON</v>
      </c>
      <c r="G2811" t="str">
        <f>"AsarBartar"</f>
        <v>AsarBartar</v>
      </c>
    </row>
    <row r="2812" spans="1:7" x14ac:dyDescent="0.25">
      <c r="A2812" t="str">
        <f>"CONFRONTING BIOPIRACY: CHALLENGES, CASES AND INTERNATIONAL DEBATES"</f>
        <v>CONFRONTING BIOPIRACY: CHALLENGES, CASES AND INTERNATIONAL DEBATES</v>
      </c>
      <c r="B2812" t="str">
        <f>"9781844077229"</f>
        <v>9781844077229</v>
      </c>
      <c r="C2812">
        <v>18</v>
      </c>
      <c r="D2812" t="str">
        <f>"GBP"</f>
        <v>GBP</v>
      </c>
      <c r="E2812" t="str">
        <f>"2010"</f>
        <v>2010</v>
      </c>
      <c r="F2812" t="str">
        <f>"DANIEL F. ROBINSON"</f>
        <v>DANIEL F. ROBINSON</v>
      </c>
      <c r="G2812" t="str">
        <f>"AsarBartar"</f>
        <v>AsarBartar</v>
      </c>
    </row>
    <row r="2813" spans="1:7" x14ac:dyDescent="0.25">
      <c r="A2813" t="str">
        <f>"Conservation and Development (Routledge Perspectives on Development)"</f>
        <v>Conservation and Development (Routledge Perspectives on Development)</v>
      </c>
      <c r="B2813" t="str">
        <f>"9780415687812"</f>
        <v>9780415687812</v>
      </c>
      <c r="C2813">
        <v>34.19</v>
      </c>
      <c r="D2813" t="str">
        <f>"GBP"</f>
        <v>GBP</v>
      </c>
      <c r="E2813" t="str">
        <f>"2016"</f>
        <v>2016</v>
      </c>
      <c r="F2813" t="str">
        <f>"BHAGWAT"</f>
        <v>BHAGWAT</v>
      </c>
      <c r="G2813" t="str">
        <f>"sal"</f>
        <v>sal</v>
      </c>
    </row>
    <row r="2814" spans="1:7" x14ac:dyDescent="0.25">
      <c r="A2814" t="str">
        <f>"Conservation Behavior: Applying Behavioral Ecology to Wildlife Conservation and Management"</f>
        <v>Conservation Behavior: Applying Behavioral Ecology to Wildlife Conservation and Management</v>
      </c>
      <c r="B2814" t="str">
        <f>"9781107690417"</f>
        <v>9781107690417</v>
      </c>
      <c r="C2814">
        <v>26.3</v>
      </c>
      <c r="D2814" t="str">
        <f>"GBP"</f>
        <v>GBP</v>
      </c>
      <c r="E2814" t="str">
        <f>"2016"</f>
        <v>2016</v>
      </c>
      <c r="F2814" t="str">
        <f>"Oded Berger-Tal , Da"</f>
        <v>Oded Berger-Tal , Da</v>
      </c>
      <c r="G2814" t="str">
        <f>"arzinbooks"</f>
        <v>arzinbooks</v>
      </c>
    </row>
    <row r="2815" spans="1:7" x14ac:dyDescent="0.25">
      <c r="A2815" t="str">
        <f>"Conservation Biogeography"</f>
        <v>Conservation Biogeography</v>
      </c>
      <c r="B2815" t="str">
        <f>"9781444335040"</f>
        <v>9781444335040</v>
      </c>
      <c r="C2815">
        <v>24</v>
      </c>
      <c r="D2815" t="str">
        <f t="shared" ref="D2815:D2821" si="185">"USD"</f>
        <v>USD</v>
      </c>
      <c r="E2815" t="str">
        <f>"2011"</f>
        <v>2011</v>
      </c>
      <c r="F2815" t="str">
        <f>"Ladle"</f>
        <v>Ladle</v>
      </c>
      <c r="G2815" t="str">
        <f>"avanddanesh"</f>
        <v>avanddanesh</v>
      </c>
    </row>
    <row r="2816" spans="1:7" x14ac:dyDescent="0.25">
      <c r="A2816" t="str">
        <f>"Conservation Biology: Voices from the Tropics"</f>
        <v>Conservation Biology: Voices from the Tropics</v>
      </c>
      <c r="B2816" t="str">
        <f>"9780470658635"</f>
        <v>9780470658635</v>
      </c>
      <c r="C2816">
        <v>48.8</v>
      </c>
      <c r="D2816" t="str">
        <f t="shared" si="185"/>
        <v>USD</v>
      </c>
      <c r="E2816" t="str">
        <f>"2013"</f>
        <v>2013</v>
      </c>
      <c r="F2816" t="str">
        <f>"Sodhi"</f>
        <v>Sodhi</v>
      </c>
      <c r="G2816" t="str">
        <f>"avanddanesh"</f>
        <v>avanddanesh</v>
      </c>
    </row>
    <row r="2817" spans="1:7" x14ac:dyDescent="0.25">
      <c r="A2817" t="str">
        <f>"Conservation Criminology"</f>
        <v>Conservation Criminology</v>
      </c>
      <c r="B2817" t="str">
        <f>"9781118935484"</f>
        <v>9781118935484</v>
      </c>
      <c r="C2817">
        <v>76.5</v>
      </c>
      <c r="D2817" t="str">
        <f t="shared" si="185"/>
        <v>USD</v>
      </c>
      <c r="E2817" t="str">
        <f>"2017"</f>
        <v>2017</v>
      </c>
      <c r="F2817" t="str">
        <f>"Gore"</f>
        <v>Gore</v>
      </c>
      <c r="G2817" t="str">
        <f>"avanddanesh"</f>
        <v>avanddanesh</v>
      </c>
    </row>
    <row r="2818" spans="1:7" x14ac:dyDescent="0.25">
      <c r="A2818" t="str">
        <f>"Conservation for the Anthropocene Ocean, Interdisciplinary Science in Support of Nature and People"</f>
        <v>Conservation for the Anthropocene Ocean, Interdisciplinary Science in Support of Nature and People</v>
      </c>
      <c r="B2818" t="str">
        <f>"9780128053744"</f>
        <v>9780128053744</v>
      </c>
      <c r="C2818">
        <v>58.45</v>
      </c>
      <c r="D2818" t="str">
        <f t="shared" si="185"/>
        <v>USD</v>
      </c>
      <c r="E2818" t="str">
        <f>"2017"</f>
        <v>2017</v>
      </c>
      <c r="F2818" t="str">
        <f>"Levin and Poe"</f>
        <v>Levin and Poe</v>
      </c>
      <c r="G2818" t="str">
        <f>"dehkadehketab"</f>
        <v>dehkadehketab</v>
      </c>
    </row>
    <row r="2819" spans="1:7" x14ac:dyDescent="0.25">
      <c r="A2819" t="str">
        <f>"Conservation of Tropical Birds"</f>
        <v>Conservation of Tropical Birds</v>
      </c>
      <c r="B2819" t="str">
        <f>"9781444334821"</f>
        <v>9781444334821</v>
      </c>
      <c r="C2819">
        <v>42</v>
      </c>
      <c r="D2819" t="str">
        <f t="shared" si="185"/>
        <v>USD</v>
      </c>
      <c r="E2819" t="str">
        <f>"2011"</f>
        <v>2011</v>
      </c>
      <c r="F2819" t="str">
        <f>"Sodhi"</f>
        <v>Sodhi</v>
      </c>
      <c r="G2819" t="str">
        <f>"avanddanesh"</f>
        <v>avanddanesh</v>
      </c>
    </row>
    <row r="2820" spans="1:7" x14ac:dyDescent="0.25">
      <c r="A2820" t="str">
        <f>"Conservation of Wildlife Populations: Demography, Genetics and Management"</f>
        <v>Conservation of Wildlife Populations: Demography, Genetics and Management</v>
      </c>
      <c r="B2820" t="str">
        <f>"9781405121460"</f>
        <v>9781405121460</v>
      </c>
      <c r="C2820">
        <v>47.97</v>
      </c>
      <c r="D2820" t="str">
        <f t="shared" si="185"/>
        <v>USD</v>
      </c>
      <c r="E2820" t="str">
        <f>"2007"</f>
        <v>2007</v>
      </c>
      <c r="F2820" t="str">
        <f>"Mills"</f>
        <v>Mills</v>
      </c>
      <c r="G2820" t="str">
        <f>"safirketab"</f>
        <v>safirketab</v>
      </c>
    </row>
    <row r="2821" spans="1:7" x14ac:dyDescent="0.25">
      <c r="A2821" t="str">
        <f>"Conservation of Wildlife Populations: Demography, Genetics, and Management,2e"</f>
        <v>Conservation of Wildlife Populations: Demography, Genetics, and Management,2e</v>
      </c>
      <c r="B2821" t="str">
        <f>"9780470671498"</f>
        <v>9780470671498</v>
      </c>
      <c r="C2821">
        <v>36</v>
      </c>
      <c r="D2821" t="str">
        <f t="shared" si="185"/>
        <v>USD</v>
      </c>
      <c r="E2821" t="str">
        <f>"2012"</f>
        <v>2012</v>
      </c>
      <c r="F2821" t="str">
        <f>"Mills"</f>
        <v>Mills</v>
      </c>
      <c r="G2821" t="str">
        <f>"avanddanesh"</f>
        <v>avanddanesh</v>
      </c>
    </row>
    <row r="2822" spans="1:7" x14ac:dyDescent="0.25">
      <c r="A2822" t="str">
        <f>"Conservation Planning: Informed Decisions for a Healthier Planet"</f>
        <v>Conservation Planning: Informed Decisions for a Healthier Planet</v>
      </c>
      <c r="B2822" t="str">
        <f>"9781936221516"</f>
        <v>9781936221516</v>
      </c>
      <c r="C2822">
        <v>32</v>
      </c>
      <c r="D2822" t="str">
        <f>"EUR"</f>
        <v>EUR</v>
      </c>
      <c r="E2822" t="str">
        <f>"2016"</f>
        <v>2016</v>
      </c>
      <c r="F2822" t="str">
        <f>"Craig R. GrovesÂ Edwa"</f>
        <v>Craig R. GrovesÂ Edwa</v>
      </c>
      <c r="G2822" t="str">
        <f>"arzinbooks"</f>
        <v>arzinbooks</v>
      </c>
    </row>
    <row r="2823" spans="1:7" x14ac:dyDescent="0.25">
      <c r="A2823" t="str">
        <f>"Conservation Psychology: Understanding and Promoting Human Care for Nature,2e"</f>
        <v>Conservation Psychology: Understanding and Promoting Human Care for Nature,2e</v>
      </c>
      <c r="B2823" t="str">
        <f>"9781118874608"</f>
        <v>9781118874608</v>
      </c>
      <c r="C2823">
        <v>40</v>
      </c>
      <c r="D2823" t="str">
        <f>"USD"</f>
        <v>USD</v>
      </c>
      <c r="E2823" t="str">
        <f>"2015"</f>
        <v>2015</v>
      </c>
      <c r="F2823" t="str">
        <f>"Clayton"</f>
        <v>Clayton</v>
      </c>
      <c r="G2823" t="str">
        <f>"avanddanesh"</f>
        <v>avanddanesh</v>
      </c>
    </row>
    <row r="2824" spans="1:7" x14ac:dyDescent="0.25">
      <c r="A2824" t="str">
        <f>"CONSERVING DATA IN THE CONSERVATION RESERVE: HOW A REGULATORY PROGRAM RUNS ON IMPERFECT INFORMATION"</f>
        <v>CONSERVING DATA IN THE CONSERVATION RESERVE: HOW A REGULATORY PROGRAM RUNS ON IMPERFECT INFORMATION</v>
      </c>
      <c r="B2824" t="str">
        <f>"9781933115818"</f>
        <v>9781933115818</v>
      </c>
      <c r="C2824">
        <v>5.39</v>
      </c>
      <c r="D2824" t="str">
        <f>"GBP"</f>
        <v>GBP</v>
      </c>
      <c r="E2824" t="str">
        <f>"2010"</f>
        <v>2010</v>
      </c>
      <c r="F2824" t="str">
        <f>"JAMES T. HAMILTON"</f>
        <v>JAMES T. HAMILTON</v>
      </c>
      <c r="G2824" t="str">
        <f>"AsarBartar"</f>
        <v>AsarBartar</v>
      </c>
    </row>
    <row r="2825" spans="1:7" x14ac:dyDescent="0.25">
      <c r="A2825" t="str">
        <f>"Construction Management: Theory and Practice"</f>
        <v>Construction Management: Theory and Practice</v>
      </c>
      <c r="B2825" t="str">
        <f>"9781138694477"</f>
        <v>9781138694477</v>
      </c>
      <c r="C2825">
        <v>31.5</v>
      </c>
      <c r="D2825" t="str">
        <f>"GBP"</f>
        <v>GBP</v>
      </c>
      <c r="E2825" t="str">
        <f>"2017"</f>
        <v>2017</v>
      </c>
      <c r="F2825" t="str">
        <f>"Chris March"</f>
        <v>Chris March</v>
      </c>
      <c r="G2825" t="str">
        <f>"AsarBartar"</f>
        <v>AsarBartar</v>
      </c>
    </row>
    <row r="2826" spans="1:7" x14ac:dyDescent="0.25">
      <c r="A2826" t="str">
        <f>"Contaminated Sediments in Freshwater Systems"</f>
        <v>Contaminated Sediments in Freshwater Systems</v>
      </c>
      <c r="B2826" t="str">
        <f>"9781498775175"</f>
        <v>9781498775175</v>
      </c>
      <c r="C2826">
        <v>91.8</v>
      </c>
      <c r="D2826" t="str">
        <f>"GBP"</f>
        <v>GBP</v>
      </c>
      <c r="E2826" t="str">
        <f>"2016"</f>
        <v>2016</v>
      </c>
      <c r="F2826" t="str">
        <f>"Frank R. Spellman"</f>
        <v>Frank R. Spellman</v>
      </c>
      <c r="G2826" t="str">
        <f>"AsarBartar"</f>
        <v>AsarBartar</v>
      </c>
    </row>
    <row r="2827" spans="1:7" x14ac:dyDescent="0.25">
      <c r="A2827" t="str">
        <f>"CONTEMPORARY LOGISTICS"</f>
        <v>CONTEMPORARY LOGISTICS</v>
      </c>
      <c r="B2827" t="str">
        <f>"9780132953467"</f>
        <v>9780132953467</v>
      </c>
      <c r="C2827">
        <v>204.34</v>
      </c>
      <c r="D2827" t="str">
        <f>"USD"</f>
        <v>USD</v>
      </c>
      <c r="E2827" t="str">
        <f>"2014"</f>
        <v>2014</v>
      </c>
      <c r="F2827" t="str">
        <f>"KNEMEYER"</f>
        <v>KNEMEYER</v>
      </c>
      <c r="G2827" t="str">
        <f>"safirketab"</f>
        <v>safirketab</v>
      </c>
    </row>
    <row r="2828" spans="1:7" x14ac:dyDescent="0.25">
      <c r="A2828" t="str">
        <f>"CONTENTIOUS GEOGRAPHIES : Environmental Knowledge, Meaning, Scale, HB"</f>
        <v>CONTENTIOUS GEOGRAPHIES : Environmental Knowledge, Meaning, Scale, HB</v>
      </c>
      <c r="B2828" t="str">
        <f>"9780754649717"</f>
        <v>9780754649717</v>
      </c>
      <c r="C2828">
        <v>70.44</v>
      </c>
      <c r="D2828" t="str">
        <f>"USD"</f>
        <v>USD</v>
      </c>
      <c r="E2828" t="str">
        <f>"2008"</f>
        <v>2008</v>
      </c>
      <c r="F2828" t="str">
        <f>"Goodman"</f>
        <v>Goodman</v>
      </c>
      <c r="G2828" t="str">
        <f>"supply"</f>
        <v>supply</v>
      </c>
    </row>
    <row r="2829" spans="1:7" x14ac:dyDescent="0.25">
      <c r="A2829" t="str">
        <f>"Contributions to Modern and Ancient Tidal Sedimentology: Proceedings of the Tidalites 2012 Conference"</f>
        <v>Contributions to Modern and Ancient Tidal Sedimentology: Proceedings of the Tidalites 2012 Conference</v>
      </c>
      <c r="B2829" t="str">
        <f>"9781119218371"</f>
        <v>9781119218371</v>
      </c>
      <c r="C2829">
        <v>80.8</v>
      </c>
      <c r="D2829" t="str">
        <f>"USD"</f>
        <v>USD</v>
      </c>
      <c r="E2829" t="str">
        <f>"2016"</f>
        <v>2016</v>
      </c>
      <c r="F2829" t="str">
        <f>"Tessier"</f>
        <v>Tessier</v>
      </c>
      <c r="G2829" t="str">
        <f>"avanddanesh"</f>
        <v>avanddanesh</v>
      </c>
    </row>
    <row r="2830" spans="1:7" x14ac:dyDescent="0.25">
      <c r="A2830" t="str">
        <f>"Control and Treatment of Landfill Leachate for Sanitary Waste Disposal"</f>
        <v>Control and Treatment of Landfill Leachate for Sanitary Waste Disposal</v>
      </c>
      <c r="B2830" t="str">
        <f>"9781466696105"</f>
        <v>9781466696105</v>
      </c>
      <c r="C2830">
        <v>143</v>
      </c>
      <c r="D2830" t="str">
        <f>"USD"</f>
        <v>USD</v>
      </c>
      <c r="E2830" t="str">
        <f>"2016"</f>
        <v>2016</v>
      </c>
      <c r="F2830" t="str">
        <f>"Hamidi Abdul Aziz"</f>
        <v>Hamidi Abdul Aziz</v>
      </c>
      <c r="G2830" t="str">
        <f>"arzinbooks"</f>
        <v>arzinbooks</v>
      </c>
    </row>
    <row r="2831" spans="1:7" x14ac:dyDescent="0.25">
      <c r="A2831" t="str">
        <f>"COOPERATION CHALLENGE OF ECONOMICS AND THE PROTECTION OF WATER SUPPLIES (ROUTLEDGE EXPLORATIONS IN ENVIRONMENTAL ECONOMICS),THE"</f>
        <v>COOPERATION CHALLENGE OF ECONOMICS AND THE PROTECTION OF WATER SUPPLIES (ROUTLEDGE EXPLORATIONS IN ENVIRONMENTAL ECONOMICS),THE</v>
      </c>
      <c r="B2831" t="str">
        <f>"9780415774703"</f>
        <v>9780415774703</v>
      </c>
      <c r="C2831">
        <v>25.5</v>
      </c>
      <c r="D2831" t="str">
        <f>"GBP"</f>
        <v>GBP</v>
      </c>
      <c r="E2831" t="str">
        <f>"2010"</f>
        <v>2010</v>
      </c>
      <c r="F2831" t="str">
        <f>"HOFFMAN, JOAN|"</f>
        <v>HOFFMAN, JOAN|</v>
      </c>
      <c r="G2831" t="str">
        <f>"AsarBartar"</f>
        <v>AsarBartar</v>
      </c>
    </row>
    <row r="2832" spans="1:7" x14ac:dyDescent="0.25">
      <c r="A2832" t="str">
        <f>"CORPORATE WATER STRATEGIES"</f>
        <v>CORPORATE WATER STRATEGIES</v>
      </c>
      <c r="B2832" t="str">
        <f>"9781849711852"</f>
        <v>9781849711852</v>
      </c>
      <c r="C2832">
        <v>14.99</v>
      </c>
      <c r="D2832" t="str">
        <f>"GBP"</f>
        <v>GBP</v>
      </c>
      <c r="E2832" t="str">
        <f>"2011"</f>
        <v>2011</v>
      </c>
      <c r="F2832" t="str">
        <f>"WILLIAM SARNI"</f>
        <v>WILLIAM SARNI</v>
      </c>
      <c r="G2832" t="str">
        <f>"AsarBartar"</f>
        <v>AsarBartar</v>
      </c>
    </row>
    <row r="2833" spans="1:7" x14ac:dyDescent="0.25">
      <c r="A2833" t="str">
        <f>"Corrosion Control and Surface Finishing: Environmentally Friendly Approaches"</f>
        <v>Corrosion Control and Surface Finishing: Environmentally Friendly Approaches</v>
      </c>
      <c r="B2833" t="str">
        <f>"9784431559559"</f>
        <v>9784431559559</v>
      </c>
      <c r="C2833">
        <v>125.99</v>
      </c>
      <c r="D2833" t="str">
        <f>"EUR"</f>
        <v>EUR</v>
      </c>
      <c r="E2833" t="str">
        <f>"2016"</f>
        <v>2016</v>
      </c>
      <c r="F2833" t="str">
        <f>"Kanematsu"</f>
        <v>Kanematsu</v>
      </c>
      <c r="G2833" t="str">
        <f>"negarestanabi"</f>
        <v>negarestanabi</v>
      </c>
    </row>
    <row r="2834" spans="1:7" x14ac:dyDescent="0.25">
      <c r="A2834" t="str">
        <f>"Creating a Sustainable Ecology Using Technology-Driven Solutions"</f>
        <v>Creating a Sustainable Ecology Using Technology-Driven Solutions</v>
      </c>
      <c r="B2834" t="str">
        <f>"9781466636132"</f>
        <v>9781466636132</v>
      </c>
      <c r="C2834">
        <v>72</v>
      </c>
      <c r="D2834" t="str">
        <f>"USD"</f>
        <v>USD</v>
      </c>
      <c r="E2834" t="str">
        <f>"2013"</f>
        <v>2013</v>
      </c>
      <c r="F2834" t="str">
        <f>"ELIAS G. CARAYANNIS("</f>
        <v>ELIAS G. CARAYANNIS(</v>
      </c>
      <c r="G2834" t="str">
        <f>"arzinbooks"</f>
        <v>arzinbooks</v>
      </c>
    </row>
    <row r="2835" spans="1:7" x14ac:dyDescent="0.25">
      <c r="A2835" t="str">
        <f>"Creating And Restoring Wetlands, From Theory To Pr"</f>
        <v>Creating And Restoring Wetlands, From Theory To Pr</v>
      </c>
      <c r="B2835" t="str">
        <f>"9780124072329"</f>
        <v>9780124072329</v>
      </c>
      <c r="C2835">
        <v>117</v>
      </c>
      <c r="D2835" t="str">
        <f>"USD"</f>
        <v>USD</v>
      </c>
      <c r="E2835" t="str">
        <f>"2015"</f>
        <v>2015</v>
      </c>
      <c r="F2835" t="str">
        <f>"N/A*"</f>
        <v>N/A*</v>
      </c>
      <c r="G2835" t="str">
        <f>"dehkadehketab"</f>
        <v>dehkadehketab</v>
      </c>
    </row>
    <row r="2836" spans="1:7" x14ac:dyDescent="0.25">
      <c r="A2836" t="str">
        <f>"Creating and Restoring Wetlands, From Theory to Practice"</f>
        <v>Creating and Restoring Wetlands, From Theory to Practice</v>
      </c>
      <c r="B2836" t="str">
        <f>"9780124072329"</f>
        <v>9780124072329</v>
      </c>
      <c r="C2836">
        <v>117</v>
      </c>
      <c r="D2836" t="str">
        <f>"USD"</f>
        <v>USD</v>
      </c>
      <c r="E2836" t="str">
        <f>"2015"</f>
        <v>2015</v>
      </c>
      <c r="F2836" t="str">
        <f>"Craft"</f>
        <v>Craft</v>
      </c>
      <c r="G2836" t="str">
        <f>"arang"</f>
        <v>arang</v>
      </c>
    </row>
    <row r="2837" spans="1:7" x14ac:dyDescent="0.25">
      <c r="A2837" t="str">
        <f>"CREATING THE PRODUCTIVE WORKPLACE"</f>
        <v>CREATING THE PRODUCTIVE WORKPLACE</v>
      </c>
      <c r="B2837" t="str">
        <f>"9780415351386"</f>
        <v>9780415351386</v>
      </c>
      <c r="C2837">
        <v>11.99</v>
      </c>
      <c r="D2837" t="str">
        <f>"GBP"</f>
        <v>GBP</v>
      </c>
      <c r="E2837" t="str">
        <f>"2006"</f>
        <v>2006</v>
      </c>
      <c r="F2837" t="str">
        <f>"D.CLEMENTS"</f>
        <v>D.CLEMENTS</v>
      </c>
      <c r="G2837" t="str">
        <f>"AsarBartar"</f>
        <v>AsarBartar</v>
      </c>
    </row>
    <row r="2838" spans="1:7" x14ac:dyDescent="0.25">
      <c r="A2838" t="str">
        <f>"Creditor Reporting System : Aid Activities In Support Of Water Supply And Sanitation, 2001-2006, PB"</f>
        <v>Creditor Reporting System : Aid Activities In Support Of Water Supply And Sanitation, 2001-2006, PB</v>
      </c>
      <c r="B2838" t="str">
        <f>"9781843392361"</f>
        <v>9781843392361</v>
      </c>
      <c r="C2838">
        <v>24.5</v>
      </c>
      <c r="D2838" t="str">
        <f>"GBP"</f>
        <v>GBP</v>
      </c>
      <c r="E2838" t="str">
        <f>"2009"</f>
        <v>2009</v>
      </c>
      <c r="F2838" t="str">
        <f>"O.E.C.D"</f>
        <v>O.E.C.D</v>
      </c>
      <c r="G2838" t="str">
        <f>"supply"</f>
        <v>supply</v>
      </c>
    </row>
    <row r="2839" spans="1:7" x14ac:dyDescent="0.25">
      <c r="A2839" t="str">
        <f>"Crisis Management of Chronic Pollution: Contaminated Soil and Human Health (Urbanization, Industrialization, and the Environment)"</f>
        <v>Crisis Management of Chronic Pollution: Contaminated Soil and Human Health (Urbanization, Industrialization, and the Environment)</v>
      </c>
      <c r="B2839" t="str">
        <f>"9781498737838"</f>
        <v>9781498737838</v>
      </c>
      <c r="C2839">
        <v>102.85</v>
      </c>
      <c r="D2839" t="str">
        <f>"GBP"</f>
        <v>GBP</v>
      </c>
      <c r="E2839" t="str">
        <f>"2016"</f>
        <v>2016</v>
      </c>
      <c r="F2839" t="str">
        <f>"Magalie Lesueur Jan"</f>
        <v>Magalie Lesueur Jan</v>
      </c>
      <c r="G2839" t="str">
        <f>"AsarBartar"</f>
        <v>AsarBartar</v>
      </c>
    </row>
    <row r="2840" spans="1:7" x14ac:dyDescent="0.25">
      <c r="A2840" t="str">
        <f>"Critical Loads and Dynamic Risk Assessments: Nitrogen. Acidity and Metals in Terrestrial and Aquatic Ecosystems"</f>
        <v>Critical Loads and Dynamic Risk Assessments: Nitrogen. Acidity and Metals in Terrestrial and Aquatic Ecosystems</v>
      </c>
      <c r="B2840" t="str">
        <f>"9789401795074"</f>
        <v>9789401795074</v>
      </c>
      <c r="C2840">
        <v>152.99</v>
      </c>
      <c r="D2840" t="str">
        <f>"EUR"</f>
        <v>EUR</v>
      </c>
      <c r="E2840" t="str">
        <f>"2015"</f>
        <v>2015</v>
      </c>
      <c r="F2840" t="str">
        <f>"de Vries"</f>
        <v>de Vries</v>
      </c>
      <c r="G2840" t="str">
        <f>"negarestanabi"</f>
        <v>negarestanabi</v>
      </c>
    </row>
    <row r="2841" spans="1:7" x14ac:dyDescent="0.25">
      <c r="A2841" t="str">
        <f>"Crustal Permeability"</f>
        <v>Crustal Permeability</v>
      </c>
      <c r="B2841" t="str">
        <f>"9781119166566"</f>
        <v>9781119166566</v>
      </c>
      <c r="C2841">
        <v>119</v>
      </c>
      <c r="D2841" t="str">
        <f>"USD"</f>
        <v>USD</v>
      </c>
      <c r="E2841" t="str">
        <f>"2016"</f>
        <v>2016</v>
      </c>
      <c r="F2841" t="str">
        <f>"Ingebritsen"</f>
        <v>Ingebritsen</v>
      </c>
      <c r="G2841" t="str">
        <f>"avanddanesh"</f>
        <v>avanddanesh</v>
      </c>
    </row>
    <row r="2842" spans="1:7" x14ac:dyDescent="0.25">
      <c r="A2842" t="str">
        <f>"Cryosphere and Global Environmental Change"</f>
        <v>Cryosphere and Global Environmental Change</v>
      </c>
      <c r="B2842" t="str">
        <f>"9781405129763"</f>
        <v>9781405129763</v>
      </c>
      <c r="C2842">
        <v>32</v>
      </c>
      <c r="D2842" t="str">
        <f>"USD"</f>
        <v>USD</v>
      </c>
      <c r="E2842" t="str">
        <f>"2006"</f>
        <v>2006</v>
      </c>
      <c r="F2842" t="str">
        <f>"Slaymaker"</f>
        <v>Slaymaker</v>
      </c>
      <c r="G2842" t="str">
        <f>"avanddanesh"</f>
        <v>avanddanesh</v>
      </c>
    </row>
    <row r="2843" spans="1:7" x14ac:dyDescent="0.25">
      <c r="A2843" t="str">
        <f>"CRYPTOSPORIDIUM AND CRYPTOSPORIDIOSIS, HB"</f>
        <v>CRYPTOSPORIDIUM AND CRYPTOSPORIDIOSIS, HB</v>
      </c>
      <c r="B2843" t="str">
        <f>"9781843391920"</f>
        <v>9781843391920</v>
      </c>
      <c r="C2843">
        <v>59.5</v>
      </c>
      <c r="D2843" t="str">
        <f>"GBP"</f>
        <v>GBP</v>
      </c>
      <c r="E2843" t="str">
        <f>"2008"</f>
        <v>2008</v>
      </c>
      <c r="F2843" t="str">
        <f>"Fayer"</f>
        <v>Fayer</v>
      </c>
      <c r="G2843" t="str">
        <f>"supply"</f>
        <v>supply</v>
      </c>
    </row>
    <row r="2844" spans="1:7" x14ac:dyDescent="0.25">
      <c r="A2844" t="str">
        <f>"Cultural History of Climate"</f>
        <v>Cultural History of Climate</v>
      </c>
      <c r="B2844" t="str">
        <f>"9780745645292"</f>
        <v>9780745645292</v>
      </c>
      <c r="C2844">
        <v>10</v>
      </c>
      <c r="D2844" t="str">
        <f>"USD"</f>
        <v>USD</v>
      </c>
      <c r="E2844" t="str">
        <f>"2010"</f>
        <v>2010</v>
      </c>
      <c r="F2844" t="str">
        <f>"Behringer"</f>
        <v>Behringer</v>
      </c>
      <c r="G2844" t="str">
        <f>"avanddanesh"</f>
        <v>avanddanesh</v>
      </c>
    </row>
    <row r="2845" spans="1:7" x14ac:dyDescent="0.25">
      <c r="A2845" t="str">
        <f>"CUMULATIVE EFFECTS IN WILDLIFE MANA"</f>
        <v>CUMULATIVE EFFECTS IN WILDLIFE MANA</v>
      </c>
      <c r="B2845" t="str">
        <f>"9781439809167"</f>
        <v>9781439809167</v>
      </c>
      <c r="C2845">
        <v>19.190000000000001</v>
      </c>
      <c r="D2845" t="str">
        <f>"GBP"</f>
        <v>GBP</v>
      </c>
      <c r="E2845" t="str">
        <f>"2011"</f>
        <v>2011</v>
      </c>
      <c r="F2845" t="str">
        <f>"KRAUSMAN"</f>
        <v>KRAUSMAN</v>
      </c>
      <c r="G2845" t="str">
        <f>"AsarBartar"</f>
        <v>AsarBartar</v>
      </c>
    </row>
    <row r="2846" spans="1:7" x14ac:dyDescent="0.25">
      <c r="A2846" t="str">
        <f>"CUSTODIANS OF BIODIVERSITY, THE"</f>
        <v>CUSTODIANS OF BIODIVERSITY, THE</v>
      </c>
      <c r="B2846" t="str">
        <f>"9781849714518"</f>
        <v>9781849714518</v>
      </c>
      <c r="C2846">
        <v>57</v>
      </c>
      <c r="D2846" t="str">
        <f>"GBP"</f>
        <v>GBP</v>
      </c>
      <c r="E2846" t="str">
        <f>"2012"</f>
        <v>2012</v>
      </c>
      <c r="F2846" t="str">
        <f>"RUIZ"</f>
        <v>RUIZ</v>
      </c>
      <c r="G2846" t="str">
        <f>"AsarBartar"</f>
        <v>AsarBartar</v>
      </c>
    </row>
    <row r="2847" spans="1:7" x14ac:dyDescent="0.25">
      <c r="A2847" t="str">
        <f>"Data Analysis in Vegetation Ecology,2e"</f>
        <v>Data Analysis in Vegetation Ecology,2e</v>
      </c>
      <c r="B2847" t="str">
        <f>"9781118384039"</f>
        <v>9781118384039</v>
      </c>
      <c r="C2847">
        <v>35.799999999999997</v>
      </c>
      <c r="D2847" t="str">
        <f>"USD"</f>
        <v>USD</v>
      </c>
      <c r="E2847" t="str">
        <f>"2013"</f>
        <v>2013</v>
      </c>
      <c r="F2847" t="str">
        <f>"Wildi"</f>
        <v>Wildi</v>
      </c>
      <c r="G2847" t="str">
        <f>"avanddanesh"</f>
        <v>avanddanesh</v>
      </c>
    </row>
    <row r="2848" spans="1:7" x14ac:dyDescent="0.25">
      <c r="A2848" t="str">
        <f>"Data Treatment in Environmental Sciences"</f>
        <v>Data Treatment in Environmental Sciences</v>
      </c>
      <c r="B2848" t="str">
        <f>"9781785482397"</f>
        <v>9781785482397</v>
      </c>
      <c r="C2848">
        <v>90</v>
      </c>
      <c r="D2848" t="str">
        <f>"USD"</f>
        <v>USD</v>
      </c>
      <c r="E2848" t="str">
        <f>"2017"</f>
        <v>2017</v>
      </c>
      <c r="F2848" t="str">
        <f>"David"</f>
        <v>David</v>
      </c>
      <c r="G2848" t="str">
        <f>"arang"</f>
        <v>arang</v>
      </c>
    </row>
    <row r="2849" spans="1:7" x14ac:dyDescent="0.25">
      <c r="A2849" t="str">
        <f>"Dawn of the Solar Age"</f>
        <v>Dawn of the Solar Age</v>
      </c>
      <c r="B2849" t="str">
        <f>"9789386602565"</f>
        <v>9789386602565</v>
      </c>
      <c r="C2849">
        <v>14.39</v>
      </c>
      <c r="D2849" t="str">
        <f>"GBP"</f>
        <v>GBP</v>
      </c>
      <c r="E2849" t="str">
        <f>"2018"</f>
        <v>2018</v>
      </c>
      <c r="F2849" t="str">
        <f>"Prem Shankar Jha"</f>
        <v>Prem Shankar Jha</v>
      </c>
      <c r="G2849" t="str">
        <f>"dehkadehketab"</f>
        <v>dehkadehketab</v>
      </c>
    </row>
    <row r="2850" spans="1:7" x14ac:dyDescent="0.25">
      <c r="A2850" t="str">
        <f>"Decarbonising the World's Economy: Assessing the Feasibility of Policies to Reduce Greenhouse Gas Emissions"</f>
        <v>Decarbonising the World's Economy: Assessing the Feasibility of Policies to Reduce Greenhouse Gas Emissions</v>
      </c>
      <c r="B2850" t="str">
        <f>"9781783265114"</f>
        <v>9781783265114</v>
      </c>
      <c r="C2850">
        <v>88.4</v>
      </c>
      <c r="D2850" t="str">
        <f>"GBP"</f>
        <v>GBP</v>
      </c>
      <c r="E2850" t="str">
        <f>"2015"</f>
        <v>2015</v>
      </c>
      <c r="F2850" t="str">
        <f>"Douglas Crawford-Br"</f>
        <v>Douglas Crawford-Br</v>
      </c>
      <c r="G2850" t="str">
        <f>"AsarBartar"</f>
        <v>AsarBartar</v>
      </c>
    </row>
    <row r="2851" spans="1:7" x14ac:dyDescent="0.25">
      <c r="A2851" t="str">
        <f>"Decentralized Water Reclamation Engineering: A Curriculum Workbook"</f>
        <v>Decentralized Water Reclamation Engineering: A Curriculum Workbook</v>
      </c>
      <c r="B2851" t="str">
        <f>"9783319404714"</f>
        <v>9783319404714</v>
      </c>
      <c r="C2851">
        <v>67.489999999999995</v>
      </c>
      <c r="D2851" t="str">
        <f>"EUR"</f>
        <v>EUR</v>
      </c>
      <c r="E2851" t="str">
        <f>"2017"</f>
        <v>2017</v>
      </c>
      <c r="F2851" t="str">
        <f>"Siegrist"</f>
        <v>Siegrist</v>
      </c>
      <c r="G2851" t="str">
        <f>"negarestanabi"</f>
        <v>negarestanabi</v>
      </c>
    </row>
    <row r="2852" spans="1:7" x14ac:dyDescent="0.25">
      <c r="A2852" t="str">
        <f>"Decision Making in Natural Resource Management"</f>
        <v>Decision Making in Natural Resource Management</v>
      </c>
      <c r="B2852" t="str">
        <f>"9780470671740"</f>
        <v>9780470671740</v>
      </c>
      <c r="C2852">
        <v>45.5</v>
      </c>
      <c r="D2852" t="str">
        <f>"USD"</f>
        <v>USD</v>
      </c>
      <c r="E2852" t="str">
        <f>"2013"</f>
        <v>2013</v>
      </c>
      <c r="F2852" t="str">
        <f>"Conroy"</f>
        <v>Conroy</v>
      </c>
      <c r="G2852" t="str">
        <f>"avanddanesh"</f>
        <v>avanddanesh</v>
      </c>
    </row>
    <row r="2853" spans="1:7" x14ac:dyDescent="0.25">
      <c r="A2853" t="str">
        <f>"Decision Making in Water Resources Policy and Management, An Australian Perspective"</f>
        <v>Decision Making in Water Resources Policy and Management, An Australian Perspective</v>
      </c>
      <c r="B2853" t="str">
        <f>"9780128105238"</f>
        <v>9780128105238</v>
      </c>
      <c r="C2853">
        <v>108</v>
      </c>
      <c r="D2853" t="str">
        <f>"USD"</f>
        <v>USD</v>
      </c>
      <c r="E2853" t="str">
        <f>"2017"</f>
        <v>2017</v>
      </c>
      <c r="F2853" t="str">
        <f>"Hart and Doolan"</f>
        <v>Hart and Doolan</v>
      </c>
      <c r="G2853" t="str">
        <f>"arang"</f>
        <v>arang</v>
      </c>
    </row>
    <row r="2854" spans="1:7" x14ac:dyDescent="0.25">
      <c r="A2854" t="str">
        <f>"Decision Making in Water Resources Policy and Management, An Australian Perspective"</f>
        <v>Decision Making in Water Resources Policy and Management, An Australian Perspective</v>
      </c>
      <c r="B2854" t="str">
        <f>"9780128105214"</f>
        <v>9780128105214</v>
      </c>
      <c r="C2854">
        <v>108</v>
      </c>
      <c r="D2854" t="str">
        <f>"USD"</f>
        <v>USD</v>
      </c>
      <c r="E2854" t="str">
        <f>"2017"</f>
        <v>2017</v>
      </c>
      <c r="F2854" t="str">
        <f>"Hart and Doolan"</f>
        <v>Hart and Doolan</v>
      </c>
      <c r="G2854" t="str">
        <f>"dehkadehketab"</f>
        <v>dehkadehketab</v>
      </c>
    </row>
    <row r="2855" spans="1:7" x14ac:dyDescent="0.25">
      <c r="A2855" t="str">
        <f>"Decision-Making in Conservation and Natural Resource Management : Models for Interdisciplinary Approaches"</f>
        <v>Decision-Making in Conservation and Natural Resource Management : Models for Interdisciplinary Approaches</v>
      </c>
      <c r="B2855" t="str">
        <f>"9781107465381"</f>
        <v>9781107465381</v>
      </c>
      <c r="C2855">
        <v>29.8</v>
      </c>
      <c r="D2855" t="str">
        <f>"GBP"</f>
        <v>GBP</v>
      </c>
      <c r="E2855" t="str">
        <f>"2017"</f>
        <v>2017</v>
      </c>
      <c r="F2855" t="str">
        <f>"Bunnefeld"</f>
        <v>Bunnefeld</v>
      </c>
      <c r="G2855" t="str">
        <f>"arzinbooks"</f>
        <v>arzinbooks</v>
      </c>
    </row>
    <row r="2856" spans="1:7" x14ac:dyDescent="0.25">
      <c r="A2856" t="str">
        <f>"Defending Biodiversity : Environmental Science and Ethics"</f>
        <v>Defending Biodiversity : Environmental Science and Ethics</v>
      </c>
      <c r="B2856" t="str">
        <f>"9780521146203"</f>
        <v>9780521146203</v>
      </c>
      <c r="C2856">
        <v>31.5</v>
      </c>
      <c r="D2856" t="str">
        <f>"GBP"</f>
        <v>GBP</v>
      </c>
      <c r="E2856" t="str">
        <f>"2017"</f>
        <v>2017</v>
      </c>
      <c r="F2856" t="str">
        <f>"Newman"</f>
        <v>Newman</v>
      </c>
      <c r="G2856" t="str">
        <f>"arzinbooks"</f>
        <v>arzinbooks</v>
      </c>
    </row>
    <row r="2857" spans="1:7" x14ac:dyDescent="0.25">
      <c r="A2857" t="str">
        <f>"Defense and the Environment: Effective Scientific Communication"</f>
        <v>Defense and the Environment: Effective Scientific Communication</v>
      </c>
      <c r="B2857" t="str">
        <f>"9781402020834"</f>
        <v>9781402020834</v>
      </c>
      <c r="C2857">
        <v>48</v>
      </c>
      <c r="D2857" t="str">
        <f>"USD"</f>
        <v>USD</v>
      </c>
      <c r="E2857" t="str">
        <f>"2004"</f>
        <v>2004</v>
      </c>
      <c r="F2857" t="str">
        <f>"Mahutova K"</f>
        <v>Mahutova K</v>
      </c>
      <c r="G2857" t="str">
        <f>"safirketab"</f>
        <v>safirketab</v>
      </c>
    </row>
    <row r="2858" spans="1:7" x14ac:dyDescent="0.25">
      <c r="A2858" t="str">
        <f>"Defining Sustainable Development for Our Common Future: A History of the World Commission on Environment and Development (Brundtland Commission)"</f>
        <v>Defining Sustainable Development for Our Common Future: A History of the World Commission on Environment and Development (Brundtland Commission)</v>
      </c>
      <c r="B2858" t="str">
        <f>"9780415825511"</f>
        <v>9780415825511</v>
      </c>
      <c r="C2858">
        <v>25.5</v>
      </c>
      <c r="D2858" t="str">
        <f>"GBP"</f>
        <v>GBP</v>
      </c>
      <c r="E2858" t="str">
        <f>"2016"</f>
        <v>2016</v>
      </c>
      <c r="F2858" t="str">
        <f>"Iris Borowy"</f>
        <v>Iris Borowy</v>
      </c>
      <c r="G2858" t="str">
        <f>"AsarBartar"</f>
        <v>AsarBartar</v>
      </c>
    </row>
    <row r="2859" spans="1:7" x14ac:dyDescent="0.25">
      <c r="A2859" t="str">
        <f>"DEFORESTATION AND SOCIO ECONOMIC ENVIRONMENT, HB"</f>
        <v>DEFORESTATION AND SOCIO ECONOMIC ENVIRONMENT, HB</v>
      </c>
      <c r="B2859" t="str">
        <f>"9788180698262"</f>
        <v>9788180698262</v>
      </c>
      <c r="C2859">
        <v>13.58</v>
      </c>
      <c r="D2859" t="str">
        <f>"USD"</f>
        <v>USD</v>
      </c>
      <c r="E2859" t="str">
        <f>"2012"</f>
        <v>2012</v>
      </c>
      <c r="F2859" t="str">
        <f>"Kewlani"</f>
        <v>Kewlani</v>
      </c>
      <c r="G2859" t="str">
        <f>"supply"</f>
        <v>supply</v>
      </c>
    </row>
    <row r="2860" spans="1:7" x14ac:dyDescent="0.25">
      <c r="A2860" t="str">
        <f>"Delivering Integrated Flood Risk Management: Governance for Collaboration, Learning and Adaptation - UNESCO-IHE PhD Thesis"</f>
        <v>Delivering Integrated Flood Risk Management: Governance for Collaboration, Learning and Adaptation - UNESCO-IHE PhD Thesis</v>
      </c>
      <c r="B2860" t="str">
        <f>"9781138026322"</f>
        <v>9781138026322</v>
      </c>
      <c r="C2860">
        <v>48.8</v>
      </c>
      <c r="D2860" t="str">
        <f>"GBP"</f>
        <v>GBP</v>
      </c>
      <c r="E2860" t="str">
        <f>"2014"</f>
        <v>2014</v>
      </c>
      <c r="F2860" t="str">
        <f>"Sebastiaan van Herk"</f>
        <v>Sebastiaan van Herk</v>
      </c>
      <c r="G2860" t="str">
        <f>"AsarBartar"</f>
        <v>AsarBartar</v>
      </c>
    </row>
    <row r="2861" spans="1:7" x14ac:dyDescent="0.25">
      <c r="A2861" t="str">
        <f>"Dendroclimatic Studies: Tree Growth and Climate Change in Northern Forests"</f>
        <v>Dendroclimatic Studies: Tree Growth and Climate Change in Northern Forests</v>
      </c>
      <c r="B2861" t="str">
        <f>"9781118848722"</f>
        <v>9781118848722</v>
      </c>
      <c r="C2861">
        <v>46.5</v>
      </c>
      <c r="D2861" t="str">
        <f>"USD"</f>
        <v>USD</v>
      </c>
      <c r="E2861" t="str">
        <f>"2014"</f>
        <v>2014</v>
      </c>
      <c r="F2861" t="str">
        <f>"D'Arrigo"</f>
        <v>D'Arrigo</v>
      </c>
      <c r="G2861" t="str">
        <f>"avanddanesh"</f>
        <v>avanddanesh</v>
      </c>
    </row>
    <row r="2862" spans="1:7" x14ac:dyDescent="0.25">
      <c r="A2862" t="str">
        <f>"DERIVATION AND USE OF ENVIRONMENTAL QUALITY AND HUMAN HEALTH STANDARDS FOR CHEMICAL SUBSTANCES IN WATER AND SOIL (SOCIETY OF ENVIRONMENTAL TOXICO"</f>
        <v>DERIVATION AND USE OF ENVIRONMENTAL QUALITY AND HUMAN HEALTH STANDARDS FOR CHEMICAL SUBSTANCES IN WATER AND SOIL (SOCIETY OF ENVIRONMENTAL TOXICO</v>
      </c>
      <c r="B2862" t="str">
        <f>"9781439803448"</f>
        <v>9781439803448</v>
      </c>
      <c r="C2862">
        <v>24.89</v>
      </c>
      <c r="D2862" t="str">
        <f>"GBP"</f>
        <v>GBP</v>
      </c>
      <c r="E2862" t="str">
        <f>"2010"</f>
        <v>2010</v>
      </c>
      <c r="F2862" t="str">
        <f>"PAUL WHITEHOUSE(EDI"</f>
        <v>PAUL WHITEHOUSE(EDI</v>
      </c>
      <c r="G2862" t="str">
        <f>"AsarBartar"</f>
        <v>AsarBartar</v>
      </c>
    </row>
    <row r="2863" spans="1:7" x14ac:dyDescent="0.25">
      <c r="A2863" t="str">
        <f>"Desertification, Land Degradation and Sustainability"</f>
        <v>Desertification, Land Degradation and Sustainability</v>
      </c>
      <c r="B2863" t="str">
        <f>"9780470714492"</f>
        <v>9780470714492</v>
      </c>
      <c r="C2863">
        <v>26</v>
      </c>
      <c r="D2863" t="str">
        <f>"USD"</f>
        <v>USD</v>
      </c>
      <c r="E2863" t="str">
        <f>"2011"</f>
        <v>2011</v>
      </c>
      <c r="F2863" t="str">
        <f>"Imeson"</f>
        <v>Imeson</v>
      </c>
      <c r="G2863" t="str">
        <f>"avanddanesh"</f>
        <v>avanddanesh</v>
      </c>
    </row>
    <row r="2864" spans="1:7" x14ac:dyDescent="0.25">
      <c r="A2864" t="str">
        <f>"Design and Construction of Phosphorus Removal Structures for Improving Water Quality"</f>
        <v>Design and Construction of Phosphorus Removal Structures for Improving Water Quality</v>
      </c>
      <c r="B2864" t="str">
        <f>"9783319586571"</f>
        <v>9783319586571</v>
      </c>
      <c r="C2864">
        <v>89.99</v>
      </c>
      <c r="D2864" t="str">
        <f>"EUR"</f>
        <v>EUR</v>
      </c>
      <c r="E2864" t="str">
        <f>"2018"</f>
        <v>2018</v>
      </c>
      <c r="F2864" t="str">
        <f>"Penn"</f>
        <v>Penn</v>
      </c>
      <c r="G2864" t="str">
        <f>"negarestanabi"</f>
        <v>negarestanabi</v>
      </c>
    </row>
    <row r="2865" spans="1:7" x14ac:dyDescent="0.25">
      <c r="A2865" t="str">
        <f>"Determination Of Metals In Natural Waters, Sedimen"</f>
        <v>Determination Of Metals In Natural Waters, Sedimen</v>
      </c>
      <c r="B2865" t="str">
        <f>"9780128026540"</f>
        <v>9780128026540</v>
      </c>
      <c r="C2865">
        <v>117</v>
      </c>
      <c r="D2865" t="str">
        <f>"USD"</f>
        <v>USD</v>
      </c>
      <c r="E2865" t="str">
        <f>"2015"</f>
        <v>2015</v>
      </c>
      <c r="F2865" t="str">
        <f>"N/A*"</f>
        <v>N/A*</v>
      </c>
      <c r="G2865" t="str">
        <f>"dehkadehketab"</f>
        <v>dehkadehketab</v>
      </c>
    </row>
    <row r="2866" spans="1:7" x14ac:dyDescent="0.25">
      <c r="A2866" t="str">
        <f>"Determination of Metals in Natural Waters, Sediments, and Soils"</f>
        <v>Determination of Metals in Natural Waters, Sediments, and Soils</v>
      </c>
      <c r="B2866" t="str">
        <f>"9780128026540"</f>
        <v>9780128026540</v>
      </c>
      <c r="C2866">
        <v>117</v>
      </c>
      <c r="D2866" t="str">
        <f>"USD"</f>
        <v>USD</v>
      </c>
      <c r="E2866" t="str">
        <f>"2015"</f>
        <v>2015</v>
      </c>
      <c r="F2866" t="str">
        <f>"Crompton"</f>
        <v>Crompton</v>
      </c>
      <c r="G2866" t="str">
        <f>"arang"</f>
        <v>arang</v>
      </c>
    </row>
    <row r="2867" spans="1:7" x14ac:dyDescent="0.25">
      <c r="A2867" t="str">
        <f>"DEVELOPING A SAFETY AND HEALTH PROGRAM, SECOND EDITION"</f>
        <v>DEVELOPING A SAFETY AND HEALTH PROGRAM, SECOND EDITION</v>
      </c>
      <c r="B2867" t="str">
        <f>"9781439814383"</f>
        <v>9781439814383</v>
      </c>
      <c r="C2867">
        <v>17.690000000000001</v>
      </c>
      <c r="D2867" t="str">
        <f>"GBP"</f>
        <v>GBP</v>
      </c>
      <c r="E2867" t="str">
        <f>"2010"</f>
        <v>2010</v>
      </c>
      <c r="F2867" t="str">
        <f>"DELLA-GIUSTINA, DAN"</f>
        <v>DELLA-GIUSTINA, DAN</v>
      </c>
      <c r="G2867" t="str">
        <f>"AsarBartar"</f>
        <v>AsarBartar</v>
      </c>
    </row>
    <row r="2868" spans="1:7" x14ac:dyDescent="0.25">
      <c r="A2868" t="str">
        <f>"Development of Marine Resources"</f>
        <v>Development of Marine Resources</v>
      </c>
      <c r="B2868" t="str">
        <f>"9781848217058"</f>
        <v>9781848217058</v>
      </c>
      <c r="C2868">
        <v>112.5</v>
      </c>
      <c r="D2868" t="str">
        <f>"USD"</f>
        <v>USD</v>
      </c>
      <c r="E2868" t="str">
        <f>"2014"</f>
        <v>2014</v>
      </c>
      <c r="F2868" t="str">
        <f>"Monaco"</f>
        <v>Monaco</v>
      </c>
      <c r="G2868" t="str">
        <f>"avanddanesh"</f>
        <v>avanddanesh</v>
      </c>
    </row>
    <row r="2869" spans="1:7" x14ac:dyDescent="0.25">
      <c r="A2869" t="str">
        <f>"DICTIONARY OF ENVIRONMENT SCIENCE, PB"</f>
        <v>DICTIONARY OF ENVIRONMENT SCIENCE, PB</v>
      </c>
      <c r="B2869" t="str">
        <f>"9788189741839"</f>
        <v>9788189741839</v>
      </c>
      <c r="C2869">
        <v>5.6</v>
      </c>
      <c r="D2869" t="str">
        <f>"USD"</f>
        <v>USD</v>
      </c>
      <c r="E2869" t="str">
        <f>"2009"</f>
        <v>2009</v>
      </c>
      <c r="F2869" t="str">
        <f>"Jawadekar"</f>
        <v>Jawadekar</v>
      </c>
      <c r="G2869" t="str">
        <f>"supply"</f>
        <v>supply</v>
      </c>
    </row>
    <row r="2870" spans="1:7" x14ac:dyDescent="0.25">
      <c r="A2870" t="str">
        <f>"Dictionary of Environmental and Climate Change Law"</f>
        <v>Dictionary of Environmental and Climate Change Law</v>
      </c>
      <c r="B2870" t="str">
        <f>"9781782540359"</f>
        <v>9781782540359</v>
      </c>
      <c r="C2870">
        <v>25.5</v>
      </c>
      <c r="D2870" t="str">
        <f>"GBP"</f>
        <v>GBP</v>
      </c>
      <c r="E2870" t="str">
        <f>"2015"</f>
        <v>2015</v>
      </c>
      <c r="F2870" t="str">
        <f>"Sarah Wegmueller(Ed"</f>
        <v>Sarah Wegmueller(Ed</v>
      </c>
      <c r="G2870" t="str">
        <f>"AsarBartar"</f>
        <v>AsarBartar</v>
      </c>
    </row>
    <row r="2871" spans="1:7" x14ac:dyDescent="0.25">
      <c r="A2871" t="str">
        <f>"Dictionary of Environmental Engineering and Wastewater Treatment"</f>
        <v>Dictionary of Environmental Engineering and Wastewater Treatment</v>
      </c>
      <c r="B2871" t="str">
        <f>"9783319262598"</f>
        <v>9783319262598</v>
      </c>
      <c r="C2871">
        <v>161.99</v>
      </c>
      <c r="D2871" t="str">
        <f>"EUR"</f>
        <v>EUR</v>
      </c>
      <c r="E2871" t="str">
        <f>"2016"</f>
        <v>2016</v>
      </c>
      <c r="F2871" t="str">
        <f>"Bahadori"</f>
        <v>Bahadori</v>
      </c>
      <c r="G2871" t="str">
        <f>"negarestanabi"</f>
        <v>negarestanabi</v>
      </c>
    </row>
    <row r="2872" spans="1:7" x14ac:dyDescent="0.25">
      <c r="A2872" t="str">
        <f>"Dictionary of Zoo Biology and Animal Management"</f>
        <v>Dictionary of Zoo Biology and Animal Management</v>
      </c>
      <c r="B2872" t="str">
        <f>"9780470671474"</f>
        <v>9780470671474</v>
      </c>
      <c r="C2872">
        <v>39</v>
      </c>
      <c r="D2872" t="str">
        <f>"USD"</f>
        <v>USD</v>
      </c>
      <c r="E2872" t="str">
        <f>"2013"</f>
        <v>2013</v>
      </c>
      <c r="F2872" t="str">
        <f>"Rees"</f>
        <v>Rees</v>
      </c>
      <c r="G2872" t="str">
        <f>"avanddanesh"</f>
        <v>avanddanesh</v>
      </c>
    </row>
    <row r="2873" spans="1:7" x14ac:dyDescent="0.25">
      <c r="A2873" t="str">
        <f>"Differential Geometry of Manifolds"</f>
        <v>Differential Geometry of Manifolds</v>
      </c>
      <c r="B2873" t="str">
        <f>"9788120346505"</f>
        <v>9788120346505</v>
      </c>
      <c r="C2873">
        <v>6.8</v>
      </c>
      <c r="D2873" t="str">
        <f>"USD"</f>
        <v>USD</v>
      </c>
      <c r="E2873" t="str">
        <f>"2016"</f>
        <v>2016</v>
      </c>
      <c r="F2873" t="str">
        <f>"Khan"</f>
        <v>Khan</v>
      </c>
      <c r="G2873" t="str">
        <f>"safirketab"</f>
        <v>safirketab</v>
      </c>
    </row>
    <row r="2874" spans="1:7" x14ac:dyDescent="0.25">
      <c r="A2874" t="str">
        <f>"Digital Soil Mapping Across Paradigms. Scales and Boundaries"</f>
        <v>Digital Soil Mapping Across Paradigms. Scales and Boundaries</v>
      </c>
      <c r="B2874" t="str">
        <f>"9789811004148"</f>
        <v>9789811004148</v>
      </c>
      <c r="C2874">
        <v>71.989999999999995</v>
      </c>
      <c r="D2874" t="str">
        <f>"EUR"</f>
        <v>EUR</v>
      </c>
      <c r="E2874" t="str">
        <f>"2016"</f>
        <v>2016</v>
      </c>
      <c r="F2874" t="str">
        <f>"Zhang"</f>
        <v>Zhang</v>
      </c>
      <c r="G2874" t="str">
        <f>"negarestanabi"</f>
        <v>negarestanabi</v>
      </c>
    </row>
    <row r="2875" spans="1:7" x14ac:dyDescent="0.25">
      <c r="A2875" t="str">
        <f>"Digital Soil Morphometrics"</f>
        <v>Digital Soil Morphometrics</v>
      </c>
      <c r="B2875" t="str">
        <f>"9783319282947"</f>
        <v>9783319282947</v>
      </c>
      <c r="C2875">
        <v>116.99</v>
      </c>
      <c r="D2875" t="str">
        <f>"EUR"</f>
        <v>EUR</v>
      </c>
      <c r="E2875" t="str">
        <f>"2016"</f>
        <v>2016</v>
      </c>
      <c r="F2875" t="str">
        <f>"Hartemink"</f>
        <v>Hartemink</v>
      </c>
      <c r="G2875" t="str">
        <f>"negarestanabi"</f>
        <v>negarestanabi</v>
      </c>
    </row>
    <row r="2876" spans="1:7" x14ac:dyDescent="0.25">
      <c r="A2876" t="str">
        <f>"DISASTER MANAGEMENT AND HUMAN HEALTH RISK : Reducing Risk, Improving Outcomes, HB"</f>
        <v>DISASTER MANAGEMENT AND HUMAN HEALTH RISK : Reducing Risk, Improving Outcomes, HB</v>
      </c>
      <c r="B2876" t="str">
        <f>"9781845642020"</f>
        <v>9781845642020</v>
      </c>
      <c r="C2876">
        <v>127.4</v>
      </c>
      <c r="D2876" t="str">
        <f>"GBP"</f>
        <v>GBP</v>
      </c>
      <c r="E2876" t="str">
        <f>"2009"</f>
        <v>2009</v>
      </c>
      <c r="F2876" t="str">
        <f>"Duncan"</f>
        <v>Duncan</v>
      </c>
      <c r="G2876" t="str">
        <f>"supply"</f>
        <v>supply</v>
      </c>
    </row>
    <row r="2877" spans="1:7" x14ac:dyDescent="0.25">
      <c r="A2877" t="str">
        <f>"DRAIN FOR GAIN: MAKING WATER MANAGEMENT WORTH ITS SALT : SUBSURFACE DRAINAGE PRACTICES IN IRRIGATED"</f>
        <v>DRAIN FOR GAIN: MAKING WATER MANAGEMENT WORTH ITS SALT : SUBSURFACE DRAINAGE PRACTICES IN IRRIGATED</v>
      </c>
      <c r="B2877" t="str">
        <f>"9780415498579"</f>
        <v>9780415498579</v>
      </c>
      <c r="C2877">
        <v>12.59</v>
      </c>
      <c r="D2877" t="str">
        <f>"GBP"</f>
        <v>GBP</v>
      </c>
      <c r="E2877" t="str">
        <f>"2009"</f>
        <v>2009</v>
      </c>
      <c r="F2877" t="str">
        <f>"HENK RITZEMA"</f>
        <v>HENK RITZEMA</v>
      </c>
      <c r="G2877" t="str">
        <f>"AsarBartar"</f>
        <v>AsarBartar</v>
      </c>
    </row>
    <row r="2878" spans="1:7" x14ac:dyDescent="0.25">
      <c r="A2878" t="str">
        <f>"Drinking Water Security for Engineers, Planners, and Managers, Integrated Water Security Series"</f>
        <v>Drinking Water Security for Engineers, Planners, and Managers, Integrated Water Security Series</v>
      </c>
      <c r="B2878" t="str">
        <f>"9780124114661"</f>
        <v>9780124114661</v>
      </c>
      <c r="C2878">
        <v>53.95</v>
      </c>
      <c r="D2878" t="str">
        <f>"USD"</f>
        <v>USD</v>
      </c>
      <c r="E2878" t="str">
        <f>"2014"</f>
        <v>2014</v>
      </c>
      <c r="F2878" t="str">
        <f>"Jain"</f>
        <v>Jain</v>
      </c>
      <c r="G2878" t="str">
        <f>"arang"</f>
        <v>arang</v>
      </c>
    </row>
    <row r="2879" spans="1:7" x14ac:dyDescent="0.25">
      <c r="A2879" t="str">
        <f>"Dynamics and Predictability of Large-Scale, High-Impact Weather and Climate Events"</f>
        <v>Dynamics and Predictability of Large-Scale, High-Impact Weather and Climate Events</v>
      </c>
      <c r="B2879" t="str">
        <f>"9781107071421"</f>
        <v>9781107071421</v>
      </c>
      <c r="C2879">
        <v>67.5</v>
      </c>
      <c r="D2879" t="str">
        <f>"GBP"</f>
        <v>GBP</v>
      </c>
      <c r="E2879" t="str">
        <f>"2016"</f>
        <v>2016</v>
      </c>
      <c r="F2879" t="str">
        <f>"Jianping Li , Richar"</f>
        <v>Jianping Li , Richar</v>
      </c>
      <c r="G2879" t="str">
        <f>"arzinbooks"</f>
        <v>arzinbooks</v>
      </c>
    </row>
    <row r="2880" spans="1:7" x14ac:dyDescent="0.25">
      <c r="A2880" t="str">
        <f>"Dynamics of Large Herbivore Populations in Changing Environments"</f>
        <v>Dynamics of Large Herbivore Populations in Changing Environments</v>
      </c>
      <c r="B2880" t="str">
        <f>"9781405198950"</f>
        <v>9781405198950</v>
      </c>
      <c r="C2880">
        <v>26</v>
      </c>
      <c r="D2880" t="str">
        <f>"USD"</f>
        <v>USD</v>
      </c>
      <c r="E2880" t="str">
        <f>"2010"</f>
        <v>2010</v>
      </c>
      <c r="F2880" t="str">
        <f>"Owen-Smith"</f>
        <v>Owen-Smith</v>
      </c>
      <c r="G2880" t="str">
        <f>"avanddanesh"</f>
        <v>avanddanesh</v>
      </c>
    </row>
    <row r="2881" spans="1:7" x14ac:dyDescent="0.25">
      <c r="A2881" t="str">
        <f>"Dynamics of Large Herbivore Populations in Changing Environments - Towards Appropriate Models"</f>
        <v>Dynamics of Large Herbivore Populations in Changing Environments - Towards Appropriate Models</v>
      </c>
      <c r="B2881" t="str">
        <f>"9781405198950"</f>
        <v>9781405198950</v>
      </c>
      <c r="C2881">
        <v>26</v>
      </c>
      <c r="D2881" t="str">
        <f>"USD"</f>
        <v>USD</v>
      </c>
      <c r="E2881" t="str">
        <f>"2010"</f>
        <v>2010</v>
      </c>
      <c r="F2881" t="str">
        <f>"Owen-Smith"</f>
        <v>Owen-Smith</v>
      </c>
      <c r="G2881" t="str">
        <f>"safirketab"</f>
        <v>safirketab</v>
      </c>
    </row>
    <row r="2882" spans="1:7" x14ac:dyDescent="0.25">
      <c r="A2882" t="str">
        <f>"EARLIEST RESEARCH OF TSUNAMI IN HISTORY, THE,    "</f>
        <v xml:space="preserve">EARLIEST RESEARCH OF TSUNAMI IN HISTORY, THE,    </v>
      </c>
      <c r="B2882" t="str">
        <f>"9788178849584"</f>
        <v>9788178849584</v>
      </c>
      <c r="C2882">
        <v>14</v>
      </c>
      <c r="D2882" t="str">
        <f>"USD"</f>
        <v>USD</v>
      </c>
      <c r="E2882" t="str">
        <f>"2012"</f>
        <v>2012</v>
      </c>
      <c r="F2882" t="str">
        <f>"Prajapati"</f>
        <v>Prajapati</v>
      </c>
      <c r="G2882" t="str">
        <f>"supply"</f>
        <v>supply</v>
      </c>
    </row>
    <row r="2883" spans="1:7" x14ac:dyDescent="0.25">
      <c r="A2883" t="str">
        <f>"Earth Observation for Land and Emergency Monitoring"</f>
        <v>Earth Observation for Land and Emergency Monitoring</v>
      </c>
      <c r="B2883" t="str">
        <f>"9781118793794"</f>
        <v>9781118793794</v>
      </c>
      <c r="C2883">
        <v>85.5</v>
      </c>
      <c r="D2883" t="str">
        <f>"USD"</f>
        <v>USD</v>
      </c>
      <c r="E2883" t="str">
        <f>"2017"</f>
        <v>2017</v>
      </c>
      <c r="F2883" t="str">
        <f>"Balzter"</f>
        <v>Balzter</v>
      </c>
      <c r="G2883" t="str">
        <f>"avanddanesh"</f>
        <v>avanddanesh</v>
      </c>
    </row>
    <row r="2884" spans="1:7" x14ac:dyDescent="0.25">
      <c r="A2884" t="str">
        <f>"Earth Observation, HB,          'NEW'"</f>
        <v>Earth Observation, HB,          'NEW'</v>
      </c>
      <c r="B2884" t="str">
        <f>"9789533079738"</f>
        <v>9789533079738</v>
      </c>
      <c r="C2884">
        <v>63</v>
      </c>
      <c r="D2884" t="str">
        <f>"USD"</f>
        <v>USD</v>
      </c>
      <c r="E2884" t="str">
        <f>"2014"</f>
        <v>2014</v>
      </c>
      <c r="F2884" t="str">
        <f>"Rustamov R. B."</f>
        <v>Rustamov R. B.</v>
      </c>
      <c r="G2884" t="str">
        <f>"supply"</f>
        <v>supply</v>
      </c>
    </row>
    <row r="2885" spans="1:7" x14ac:dyDescent="0.25">
      <c r="A2885" t="str">
        <f>"EARTH ONLY ENDURES : ON RECONNECTING WITH NATURE AND OUR PLACE IN IT,THE"</f>
        <v>EARTH ONLY ENDURES : ON RECONNECTING WITH NATURE AND OUR PLACE IN IT,THE</v>
      </c>
      <c r="B2885" t="str">
        <f>"9781844076130"</f>
        <v>9781844076130</v>
      </c>
      <c r="C2885">
        <v>5.39</v>
      </c>
      <c r="D2885" t="str">
        <f>"GBP"</f>
        <v>GBP</v>
      </c>
      <c r="E2885" t="str">
        <f>"2009"</f>
        <v>2009</v>
      </c>
      <c r="F2885" t="str">
        <f>"JULES PRETTY"</f>
        <v>JULES PRETTY</v>
      </c>
      <c r="G2885" t="str">
        <f>"AsarBartar"</f>
        <v>AsarBartar</v>
      </c>
    </row>
    <row r="2886" spans="1:7" x14ac:dyDescent="0.25">
      <c r="A2886" t="str">
        <f>"Earth Resources and Environmental Impacts, 1st Edition"</f>
        <v>Earth Resources and Environmental Impacts, 1st Edition</v>
      </c>
      <c r="B2886" t="str">
        <f>"9780470564912"</f>
        <v>9780470564912</v>
      </c>
      <c r="C2886">
        <v>123.8</v>
      </c>
      <c r="D2886" t="str">
        <f t="shared" ref="D2886:D2891" si="186">"USD"</f>
        <v>USD</v>
      </c>
      <c r="E2886" t="str">
        <f>"2014"</f>
        <v>2014</v>
      </c>
      <c r="F2886" t="str">
        <f>"O'Hara"</f>
        <v>O'Hara</v>
      </c>
      <c r="G2886" t="str">
        <f>"avanddanesh"</f>
        <v>avanddanesh</v>
      </c>
    </row>
    <row r="2887" spans="1:7" x14ac:dyDescent="0.25">
      <c r="A2887" t="str">
        <f>"Earth: An Introduction to Physical Geology, 11/e"</f>
        <v>Earth: An Introduction to Physical Geology, 11/e</v>
      </c>
      <c r="B2887" t="str">
        <f>"9789332571662"</f>
        <v>9789332571662</v>
      </c>
      <c r="C2887">
        <v>18.7</v>
      </c>
      <c r="D2887" t="str">
        <f t="shared" si="186"/>
        <v>USD</v>
      </c>
      <c r="E2887" t="str">
        <f>"2016"</f>
        <v>2016</v>
      </c>
      <c r="F2887" t="str">
        <f>"Tarbuck"</f>
        <v>Tarbuck</v>
      </c>
      <c r="G2887" t="str">
        <f>"safirketab"</f>
        <v>safirketab</v>
      </c>
    </row>
    <row r="2888" spans="1:7" x14ac:dyDescent="0.25">
      <c r="A2888" t="str">
        <f>"Earthquake : Resistant Building Construction, HB"</f>
        <v>Earthquake : Resistant Building Construction, HB</v>
      </c>
      <c r="B2888" t="str">
        <f>"9788185771281"</f>
        <v>9788185771281</v>
      </c>
      <c r="C2888">
        <v>15.33</v>
      </c>
      <c r="D2888" t="str">
        <f t="shared" si="186"/>
        <v>USD</v>
      </c>
      <c r="E2888" t="str">
        <f>"2011"</f>
        <v>2011</v>
      </c>
      <c r="F2888" t="str">
        <f>"Sharma "</f>
        <v xml:space="preserve">Sharma </v>
      </c>
      <c r="G2888" t="str">
        <f>"supply"</f>
        <v>supply</v>
      </c>
    </row>
    <row r="2889" spans="1:7" x14ac:dyDescent="0.25">
      <c r="A2889" t="str">
        <f>"Earth's Climate Evolution"</f>
        <v>Earth's Climate Evolution</v>
      </c>
      <c r="B2889" t="str">
        <f>"9781118897393"</f>
        <v>9781118897393</v>
      </c>
      <c r="C2889">
        <v>60</v>
      </c>
      <c r="D2889" t="str">
        <f t="shared" si="186"/>
        <v>USD</v>
      </c>
      <c r="E2889" t="str">
        <f>"2015"</f>
        <v>2015</v>
      </c>
      <c r="F2889" t="str">
        <f>"Summerhayes"</f>
        <v>Summerhayes</v>
      </c>
      <c r="G2889" t="str">
        <f>"avanddanesh"</f>
        <v>avanddanesh</v>
      </c>
    </row>
    <row r="2890" spans="1:7" x14ac:dyDescent="0.25">
      <c r="A2890" t="str">
        <f>"Earthworm Ecology And Environment, HB"</f>
        <v>Earthworm Ecology And Environment, HB</v>
      </c>
      <c r="B2890" t="str">
        <f>"9788181890627"</f>
        <v>9788181890627</v>
      </c>
      <c r="C2890">
        <v>17.5</v>
      </c>
      <c r="D2890" t="str">
        <f t="shared" si="186"/>
        <v>USD</v>
      </c>
      <c r="E2890" t="str">
        <f>"2009"</f>
        <v>2009</v>
      </c>
      <c r="F2890" t="str">
        <f>"Singh"</f>
        <v>Singh</v>
      </c>
      <c r="G2890" t="str">
        <f>"supply"</f>
        <v>supply</v>
      </c>
    </row>
    <row r="2891" spans="1:7" x14ac:dyDescent="0.25">
      <c r="A2891" t="str">
        <f>"Ecoacoustics: The Ecological Role of Sounds"</f>
        <v>Ecoacoustics: The Ecological Role of Sounds</v>
      </c>
      <c r="B2891" t="str">
        <f>"9781119230694"</f>
        <v>9781119230694</v>
      </c>
      <c r="C2891">
        <v>112.5</v>
      </c>
      <c r="D2891" t="str">
        <f t="shared" si="186"/>
        <v>USD</v>
      </c>
      <c r="E2891" t="str">
        <f>"2017"</f>
        <v>2017</v>
      </c>
      <c r="F2891" t="str">
        <f>"Farina"</f>
        <v>Farina</v>
      </c>
      <c r="G2891" t="str">
        <f>"avanddanesh"</f>
        <v>avanddanesh</v>
      </c>
    </row>
    <row r="2892" spans="1:7" x14ac:dyDescent="0.25">
      <c r="A2892" t="str">
        <f>"ECODYNAMICS : The Prigogine Legacy, HB"</f>
        <v>ECODYNAMICS : The Prigogine Legacy, HB</v>
      </c>
      <c r="B2892" t="str">
        <f>"9781845646547"</f>
        <v>9781845646547</v>
      </c>
      <c r="C2892">
        <v>110.6</v>
      </c>
      <c r="D2892" t="str">
        <f>"GBP"</f>
        <v>GBP</v>
      </c>
      <c r="E2892" t="str">
        <f>"2011"</f>
        <v>2011</v>
      </c>
      <c r="F2892" t="str">
        <f>"Brebbia"</f>
        <v>Brebbia</v>
      </c>
      <c r="G2892" t="str">
        <f>"supply"</f>
        <v>supply</v>
      </c>
    </row>
    <row r="2893" spans="1:7" x14ac:dyDescent="0.25">
      <c r="A2893" t="str">
        <f>"Ecohydraulics: An Integrated Approach"</f>
        <v>Ecohydraulics: An Integrated Approach</v>
      </c>
      <c r="B2893" t="str">
        <f>"9780470976005"</f>
        <v>9780470976005</v>
      </c>
      <c r="C2893">
        <v>71.5</v>
      </c>
      <c r="D2893" t="str">
        <f>"USD"</f>
        <v>USD</v>
      </c>
      <c r="E2893" t="str">
        <f>"2013"</f>
        <v>2013</v>
      </c>
      <c r="F2893" t="str">
        <f>"Maddock"</f>
        <v>Maddock</v>
      </c>
      <c r="G2893" t="str">
        <f>"avanddanesh"</f>
        <v>avanddanesh</v>
      </c>
    </row>
    <row r="2894" spans="1:7" x14ac:dyDescent="0.25">
      <c r="A2894" t="str">
        <f>"ECOINFORMATICS : Tools And Techniques, HB"</f>
        <v>ECOINFORMATICS : Tools And Techniques, HB</v>
      </c>
      <c r="B2894" t="str">
        <f>"9788189741990"</f>
        <v>9788189741990</v>
      </c>
      <c r="C2894">
        <v>24.85</v>
      </c>
      <c r="D2894" t="str">
        <f>"USD"</f>
        <v>USD</v>
      </c>
      <c r="E2894" t="str">
        <f>"2009"</f>
        <v>2009</v>
      </c>
      <c r="F2894" t="str">
        <f>"Williams"</f>
        <v>Williams</v>
      </c>
      <c r="G2894" t="str">
        <f>"supply"</f>
        <v>supply</v>
      </c>
    </row>
    <row r="2895" spans="1:7" x14ac:dyDescent="0.25">
      <c r="A2895" t="str">
        <f>"Ecological And Environment Physiology Of Insects"</f>
        <v>Ecological And Environment Physiology Of Insects</v>
      </c>
      <c r="B2895" t="str">
        <f>"9780198747918"</f>
        <v>9780198747918</v>
      </c>
      <c r="C2895">
        <v>27.2</v>
      </c>
      <c r="D2895" t="str">
        <f>"USD"</f>
        <v>USD</v>
      </c>
      <c r="E2895" t="str">
        <f>"2015"</f>
        <v>2015</v>
      </c>
      <c r="F2895" t="str">
        <f>"Harrison"</f>
        <v>Harrison</v>
      </c>
      <c r="G2895" t="str">
        <f>"jahanadib"</f>
        <v>jahanadib</v>
      </c>
    </row>
    <row r="2896" spans="1:7" x14ac:dyDescent="0.25">
      <c r="A2896" t="str">
        <f>"Ecological Challenges and Conservation Conundrums: Essays and Reflections for a Changing World"</f>
        <v>Ecological Challenges and Conservation Conundrums: Essays and Reflections for a Changing World</v>
      </c>
      <c r="B2896" t="str">
        <f>"9781118895108"</f>
        <v>9781118895108</v>
      </c>
      <c r="C2896">
        <v>59.5</v>
      </c>
      <c r="D2896" t="str">
        <f>"USD"</f>
        <v>USD</v>
      </c>
      <c r="E2896" t="str">
        <f>"2016"</f>
        <v>2016</v>
      </c>
      <c r="F2896" t="str">
        <f>"Wiens"</f>
        <v>Wiens</v>
      </c>
      <c r="G2896" t="str">
        <f>"avanddanesh"</f>
        <v>avanddanesh</v>
      </c>
    </row>
    <row r="2897" spans="1:7" x14ac:dyDescent="0.25">
      <c r="A2897" t="str">
        <f>"Ecological Consequences of Increasing Crop Productivity: Plant Breeding and Biotic Diversity"</f>
        <v>Ecological Consequences of Increasing Crop Productivity: Plant Breeding and Biotic Diversity</v>
      </c>
      <c r="B2897" t="str">
        <f>"9781771880121"</f>
        <v>9781771880121</v>
      </c>
      <c r="C2897">
        <v>80.75</v>
      </c>
      <c r="D2897" t="str">
        <f>"GBP"</f>
        <v>GBP</v>
      </c>
      <c r="E2897" t="str">
        <f>"2015"</f>
        <v>2015</v>
      </c>
      <c r="F2897" t="str">
        <f>"Gennady E. Zaikov(E"</f>
        <v>Gennady E. Zaikov(E</v>
      </c>
      <c r="G2897" t="str">
        <f>"AsarBartar"</f>
        <v>AsarBartar</v>
      </c>
    </row>
    <row r="2898" spans="1:7" x14ac:dyDescent="0.25">
      <c r="A2898" t="str">
        <f>"Ecological Developmental Biology ; 2th Edition"</f>
        <v>Ecological Developmental Biology ; 2th Edition</v>
      </c>
      <c r="B2898" t="str">
        <f>"9781605353449"</f>
        <v>9781605353449</v>
      </c>
      <c r="C2898">
        <v>53.6</v>
      </c>
      <c r="D2898" t="str">
        <f>"EUR"</f>
        <v>EUR</v>
      </c>
      <c r="E2898" t="str">
        <f>"2015"</f>
        <v>2015</v>
      </c>
      <c r="F2898" t="str">
        <f>"Scott F. GilbertÂ Dav"</f>
        <v>Scott F. GilbertÂ Dav</v>
      </c>
      <c r="G2898" t="str">
        <f>"arzinbooks"</f>
        <v>arzinbooks</v>
      </c>
    </row>
    <row r="2899" spans="1:7" x14ac:dyDescent="0.25">
      <c r="A2899" t="str">
        <f>"Ecological Economics Reviews"</f>
        <v>Ecological Economics Reviews</v>
      </c>
      <c r="B2899" t="str">
        <f>"9781573317665"</f>
        <v>9781573317665</v>
      </c>
      <c r="C2899">
        <v>46</v>
      </c>
      <c r="D2899" t="str">
        <f>"USD"</f>
        <v>USD</v>
      </c>
      <c r="E2899" t="str">
        <f>"2010"</f>
        <v>2010</v>
      </c>
      <c r="F2899" t="str">
        <f>"Limburg"</f>
        <v>Limburg</v>
      </c>
      <c r="G2899" t="str">
        <f>"safirketab"</f>
        <v>safirketab</v>
      </c>
    </row>
    <row r="2900" spans="1:7" x14ac:dyDescent="0.25">
      <c r="A2900" t="str">
        <f>"Ecological Economics Reviews"</f>
        <v>Ecological Economics Reviews</v>
      </c>
      <c r="B2900" t="str">
        <f>"9781573317665"</f>
        <v>9781573317665</v>
      </c>
      <c r="C2900">
        <v>46</v>
      </c>
      <c r="D2900" t="str">
        <f>"USD"</f>
        <v>USD</v>
      </c>
      <c r="E2900" t="str">
        <f>"2010"</f>
        <v>2010</v>
      </c>
      <c r="F2900" t="str">
        <f>"Limburg"</f>
        <v>Limburg</v>
      </c>
      <c r="G2900" t="str">
        <f>"avanddanesh"</f>
        <v>avanddanesh</v>
      </c>
    </row>
    <row r="2901" spans="1:7" x14ac:dyDescent="0.25">
      <c r="A2901" t="str">
        <f>"Ecological Engineering Design: Restoring and Conserving Ecosystem Services"</f>
        <v>Ecological Engineering Design: Restoring and Conserving Ecosystem Services</v>
      </c>
      <c r="B2901" t="str">
        <f>"9780470345146"</f>
        <v>9780470345146</v>
      </c>
      <c r="C2901">
        <v>105</v>
      </c>
      <c r="D2901" t="str">
        <f>"USD"</f>
        <v>USD</v>
      </c>
      <c r="E2901" t="str">
        <f>"2011"</f>
        <v>2011</v>
      </c>
      <c r="F2901" t="str">
        <f>"Matlock"</f>
        <v>Matlock</v>
      </c>
      <c r="G2901" t="str">
        <f>"safirketab"</f>
        <v>safirketab</v>
      </c>
    </row>
    <row r="2902" spans="1:7" x14ac:dyDescent="0.25">
      <c r="A2902" t="str">
        <f>"Ecological Forest Management Handbook"</f>
        <v>Ecological Forest Management Handbook</v>
      </c>
      <c r="B2902" t="str">
        <f>"9781482247855"</f>
        <v>9781482247855</v>
      </c>
      <c r="C2902">
        <v>115.6</v>
      </c>
      <c r="D2902" t="str">
        <f>"GBP"</f>
        <v>GBP</v>
      </c>
      <c r="E2902" t="str">
        <f>"2016"</f>
        <v>2016</v>
      </c>
      <c r="F2902" t="str">
        <f>"Guy R. Larocque(Edi"</f>
        <v>Guy R. Larocque(Edi</v>
      </c>
      <c r="G2902" t="str">
        <f>"AsarBartar"</f>
        <v>AsarBartar</v>
      </c>
    </row>
    <row r="2903" spans="1:7" x14ac:dyDescent="0.25">
      <c r="A2903" t="str">
        <f>"ECOLOGICAL INDICATORS FOR COASTAL AND ESTUARINE ENVIRONMENTAL ASSESSMENT, HB"</f>
        <v>ECOLOGICAL INDICATORS FOR COASTAL AND ESTUARINE ENVIRONMENTAL ASSESSMENT, HB</v>
      </c>
      <c r="B2903" t="str">
        <f>"9781845642099"</f>
        <v>9781845642099</v>
      </c>
      <c r="C2903">
        <v>63.7</v>
      </c>
      <c r="D2903" t="str">
        <f>"GBP"</f>
        <v>GBP</v>
      </c>
      <c r="E2903" t="str">
        <f>"2009"</f>
        <v>2009</v>
      </c>
      <c r="F2903" t="str">
        <f>"Marques"</f>
        <v>Marques</v>
      </c>
      <c r="G2903" t="str">
        <f>"supply"</f>
        <v>supply</v>
      </c>
    </row>
    <row r="2904" spans="1:7" x14ac:dyDescent="0.25">
      <c r="A2904" t="str">
        <f>"Ecological Informatics: Data Management and Knowledge Discovery . 3/ed"</f>
        <v>Ecological Informatics: Data Management and Knowledge Discovery . 3/ed</v>
      </c>
      <c r="B2904" t="str">
        <f>"9783319599267"</f>
        <v>9783319599267</v>
      </c>
      <c r="C2904">
        <v>134.99</v>
      </c>
      <c r="D2904" t="str">
        <f>"EUR"</f>
        <v>EUR</v>
      </c>
      <c r="E2904" t="str">
        <f>"2018"</f>
        <v>2018</v>
      </c>
      <c r="F2904" t="str">
        <f>"Recknagel"</f>
        <v>Recknagel</v>
      </c>
      <c r="G2904" t="str">
        <f>"negarestanabi"</f>
        <v>negarestanabi</v>
      </c>
    </row>
    <row r="2905" spans="1:7" x14ac:dyDescent="0.25">
      <c r="A2905" t="str">
        <f>"Ecological Methods,4e"</f>
        <v>Ecological Methods,4e</v>
      </c>
      <c r="B2905" t="str">
        <f>"9781118895283"</f>
        <v>9781118895283</v>
      </c>
      <c r="C2905">
        <v>59.5</v>
      </c>
      <c r="D2905" t="str">
        <f>"USD"</f>
        <v>USD</v>
      </c>
      <c r="E2905" t="str">
        <f>"2016"</f>
        <v>2016</v>
      </c>
      <c r="F2905" t="str">
        <f>"Henderson"</f>
        <v>Henderson</v>
      </c>
      <c r="G2905" t="str">
        <f>"avanddanesh"</f>
        <v>avanddanesh</v>
      </c>
    </row>
    <row r="2906" spans="1:7" x14ac:dyDescent="0.25">
      <c r="A2906" t="str">
        <f>"ECOLOGICAL MODELLING : An Introduction, HB"</f>
        <v>ECOLOGICAL MODELLING : An Introduction, HB</v>
      </c>
      <c r="B2906" t="str">
        <f>"9781845644086"</f>
        <v>9781845644086</v>
      </c>
      <c r="C2906">
        <v>55.3</v>
      </c>
      <c r="D2906" t="str">
        <f>"GBP"</f>
        <v>GBP</v>
      </c>
      <c r="E2906" t="str">
        <f>"2009"</f>
        <v>2009</v>
      </c>
      <c r="F2906" t="str">
        <f>"Jorgensen"</f>
        <v>Jorgensen</v>
      </c>
      <c r="G2906" t="str">
        <f>"supply"</f>
        <v>supply</v>
      </c>
    </row>
    <row r="2907" spans="1:7" x14ac:dyDescent="0.25">
      <c r="A2907" t="str">
        <f>"Ecological Modelling and Engineering of Lakes and Wetlands, Volume26"</f>
        <v>Ecological Modelling and Engineering of Lakes and Wetlands, Volume26</v>
      </c>
      <c r="B2907" t="str">
        <f>"9780444632494"</f>
        <v>9780444632494</v>
      </c>
      <c r="C2907">
        <v>121.5</v>
      </c>
      <c r="D2907" t="str">
        <f>"USD"</f>
        <v>USD</v>
      </c>
      <c r="E2907" t="str">
        <f>"2014"</f>
        <v>2014</v>
      </c>
      <c r="F2907" t="str">
        <f>"JÃ¸rgensen et al"</f>
        <v>JÃ¸rgensen et al</v>
      </c>
      <c r="G2907" t="str">
        <f>"arang"</f>
        <v>arang</v>
      </c>
    </row>
    <row r="2908" spans="1:7" x14ac:dyDescent="0.25">
      <c r="A2908" t="str">
        <f>"ECOLOGICAL MODELS FOR REGULATORY RISK ASSESSMENTS OF PESTICIDES: DEVELOPING A STRATEGY FOR THE FUTURE"</f>
        <v>ECOLOGICAL MODELS FOR REGULATORY RISK ASSESSMENTS OF PESTICIDES: DEVELOPING A STRATEGY FOR THE FUTURE</v>
      </c>
      <c r="B2908" t="str">
        <f>"9781439805114"</f>
        <v>9781439805114</v>
      </c>
      <c r="C2908">
        <v>19.190000000000001</v>
      </c>
      <c r="D2908" t="str">
        <f>"GBP"</f>
        <v>GBP</v>
      </c>
      <c r="E2908" t="str">
        <f>"2010"</f>
        <v>2010</v>
      </c>
      <c r="F2908" t="str">
        <f>"VOLKER GRIMM(EDITOR"</f>
        <v>VOLKER GRIMM(EDITOR</v>
      </c>
      <c r="G2908" t="str">
        <f>"AsarBartar"</f>
        <v>AsarBartar</v>
      </c>
    </row>
    <row r="2909" spans="1:7" x14ac:dyDescent="0.25">
      <c r="A2909" t="str">
        <f>"Ecological Parasitology: Reflections on 50 Years of Research in Aquatic Ecosystems"</f>
        <v>Ecological Parasitology: Reflections on 50 Years of Research in Aquatic Ecosystems</v>
      </c>
      <c r="B2909" t="str">
        <f>"9781118874677"</f>
        <v>9781118874677</v>
      </c>
      <c r="C2909">
        <v>52</v>
      </c>
      <c r="D2909" t="str">
        <f>"USD"</f>
        <v>USD</v>
      </c>
      <c r="E2909" t="str">
        <f>"2015"</f>
        <v>2015</v>
      </c>
      <c r="F2909" t="str">
        <f>"Esch"</f>
        <v>Esch</v>
      </c>
      <c r="G2909" t="str">
        <f>"avanddanesh"</f>
        <v>avanddanesh</v>
      </c>
    </row>
    <row r="2910" spans="1:7" x14ac:dyDescent="0.25">
      <c r="A2910" t="str">
        <f>"Ecology "</f>
        <v xml:space="preserve">Ecology </v>
      </c>
      <c r="B2910" t="str">
        <f>"9788123926513"</f>
        <v>9788123926513</v>
      </c>
      <c r="C2910">
        <v>17.100000000000001</v>
      </c>
      <c r="D2910" t="str">
        <f>"USD"</f>
        <v>USD</v>
      </c>
      <c r="E2910" t="str">
        <f>"2015"</f>
        <v>2015</v>
      </c>
      <c r="F2910" t="str">
        <f>"Micheal"</f>
        <v>Micheal</v>
      </c>
      <c r="G2910" t="str">
        <f>"jahanadib"</f>
        <v>jahanadib</v>
      </c>
    </row>
    <row r="2911" spans="1:7" x14ac:dyDescent="0.25">
      <c r="A2911" t="str">
        <f>"Ecology and prevention of Lyme borreliosis"</f>
        <v>Ecology and prevention of Lyme borreliosis</v>
      </c>
      <c r="B2911" t="str">
        <f>"9789086862931"</f>
        <v>9789086862931</v>
      </c>
      <c r="C2911">
        <v>89.1</v>
      </c>
      <c r="D2911" t="str">
        <f>"EUR"</f>
        <v>EUR</v>
      </c>
      <c r="E2911" t="str">
        <f>"2016"</f>
        <v>2016</v>
      </c>
      <c r="F2911" t="str">
        <f>"Marieta A.H. Braks,"</f>
        <v>Marieta A.H. Braks,</v>
      </c>
      <c r="G2911" t="str">
        <f>"AsarBartar"</f>
        <v>AsarBartar</v>
      </c>
    </row>
    <row r="2912" spans="1:7" x14ac:dyDescent="0.25">
      <c r="A2912" t="str">
        <f>"Ecology of Invertebrate Diseases"</f>
        <v>Ecology of Invertebrate Diseases</v>
      </c>
      <c r="B2912" t="str">
        <f>"9781119256076"</f>
        <v>9781119256076</v>
      </c>
      <c r="C2912">
        <v>108</v>
      </c>
      <c r="D2912" t="str">
        <f>"USD"</f>
        <v>USD</v>
      </c>
      <c r="E2912" t="str">
        <f>"2017"</f>
        <v>2017</v>
      </c>
      <c r="F2912" t="str">
        <f>"Hajek"</f>
        <v>Hajek</v>
      </c>
      <c r="G2912" t="str">
        <f>"avanddanesh"</f>
        <v>avanddanesh</v>
      </c>
    </row>
    <row r="2913" spans="1:7" x14ac:dyDescent="0.25">
      <c r="A2913" t="str">
        <f>"Ecology of Lianas"</f>
        <v>Ecology of Lianas</v>
      </c>
      <c r="B2913" t="str">
        <f>"9781118392492"</f>
        <v>9781118392492</v>
      </c>
      <c r="C2913">
        <v>93.8</v>
      </c>
      <c r="D2913" t="str">
        <f>"USD"</f>
        <v>USD</v>
      </c>
      <c r="E2913" t="str">
        <f>"2014"</f>
        <v>2014</v>
      </c>
      <c r="F2913" t="str">
        <f>"Schnitzer"</f>
        <v>Schnitzer</v>
      </c>
      <c r="G2913" t="str">
        <f>"avanddanesh"</f>
        <v>avanddanesh</v>
      </c>
    </row>
    <row r="2914" spans="1:7" x14ac:dyDescent="0.25">
      <c r="A2914" t="str">
        <f>"ECOLOGY, HB"</f>
        <v>ECOLOGY, HB</v>
      </c>
      <c r="B2914" t="str">
        <f>"9781926686288"</f>
        <v>9781926686288</v>
      </c>
      <c r="C2914">
        <v>91</v>
      </c>
      <c r="D2914" t="str">
        <f>"USD"</f>
        <v>USD</v>
      </c>
      <c r="E2914" t="str">
        <f>"2010"</f>
        <v>2010</v>
      </c>
      <c r="F2914" t="str">
        <f>"Brown"</f>
        <v>Brown</v>
      </c>
      <c r="G2914" t="str">
        <f>"supply"</f>
        <v>supply</v>
      </c>
    </row>
    <row r="2915" spans="1:7" x14ac:dyDescent="0.25">
      <c r="A2915" t="str">
        <f>"Economic Incentives for Marine and Coastal Conservation: Prospects, Challenges and Policy Implications"</f>
        <v>Economic Incentives for Marine and Coastal Conservation: Prospects, Challenges and Policy Implications</v>
      </c>
      <c r="B2915" t="str">
        <f>"9780415855983"</f>
        <v>9780415855983</v>
      </c>
      <c r="C2915">
        <v>25.6</v>
      </c>
      <c r="D2915" t="str">
        <f>"GBP"</f>
        <v>GBP</v>
      </c>
      <c r="E2915" t="str">
        <f>"2014"</f>
        <v>2014</v>
      </c>
      <c r="F2915" t="str">
        <f>"Essam Yassin Mohamm"</f>
        <v>Essam Yassin Mohamm</v>
      </c>
      <c r="G2915" t="str">
        <f>"AsarBartar"</f>
        <v>AsarBartar</v>
      </c>
    </row>
    <row r="2916" spans="1:7" x14ac:dyDescent="0.25">
      <c r="A2916" t="str">
        <f>"Economics of Water Management in Agriculture"</f>
        <v>Economics of Water Management in Agriculture</v>
      </c>
      <c r="B2916" t="str">
        <f>"9781482238396"</f>
        <v>9781482238396</v>
      </c>
      <c r="C2916">
        <v>101.15</v>
      </c>
      <c r="D2916" t="str">
        <f>"GBP"</f>
        <v>GBP</v>
      </c>
      <c r="E2916" t="str">
        <f>"2015"</f>
        <v>2015</v>
      </c>
      <c r="F2916" t="str">
        <f>"Davide Viaggi(Edito"</f>
        <v>Davide Viaggi(Edito</v>
      </c>
      <c r="G2916" t="str">
        <f>"AsarBartar"</f>
        <v>AsarBartar</v>
      </c>
    </row>
    <row r="2917" spans="1:7" x14ac:dyDescent="0.25">
      <c r="A2917" t="str">
        <f>"ECOPRENEURS : Green Business Activists, HB"</f>
        <v>ECOPRENEURS : Green Business Activists, HB</v>
      </c>
      <c r="B2917" t="str">
        <f>"9788131427125"</f>
        <v>9788131427125</v>
      </c>
      <c r="C2917">
        <v>19.32</v>
      </c>
      <c r="D2917" t="str">
        <f>"USD"</f>
        <v>USD</v>
      </c>
      <c r="E2917" t="str">
        <f>"2012"</f>
        <v>2012</v>
      </c>
      <c r="F2917" t="str">
        <f>"Joshi "</f>
        <v xml:space="preserve">Joshi </v>
      </c>
      <c r="G2917" t="str">
        <f>"supply"</f>
        <v>supply</v>
      </c>
    </row>
    <row r="2918" spans="1:7" x14ac:dyDescent="0.25">
      <c r="A2918" t="str">
        <f>"Ecosystem Functions and Management: Theory and Practice"</f>
        <v>Ecosystem Functions and Management: Theory and Practice</v>
      </c>
      <c r="B2918" t="str">
        <f>"9783319539669"</f>
        <v>9783319539669</v>
      </c>
      <c r="C2918">
        <v>143.99</v>
      </c>
      <c r="D2918" t="str">
        <f>"EUR"</f>
        <v>EUR</v>
      </c>
      <c r="E2918" t="str">
        <f>"2017"</f>
        <v>2017</v>
      </c>
      <c r="F2918" t="str">
        <f>"Sandhu"</f>
        <v>Sandhu</v>
      </c>
      <c r="G2918" t="str">
        <f>"negarestanabi"</f>
        <v>negarestanabi</v>
      </c>
    </row>
    <row r="2919" spans="1:7" x14ac:dyDescent="0.25">
      <c r="A2919" t="str">
        <f>"Ecosystem Services in Agricultural and Urban Landscapes"</f>
        <v>Ecosystem Services in Agricultural and Urban Landscapes</v>
      </c>
      <c r="B2919" t="str">
        <f>"9781405170086"</f>
        <v>9781405170086</v>
      </c>
      <c r="C2919">
        <v>52</v>
      </c>
      <c r="D2919" t="str">
        <f>"USD"</f>
        <v>USD</v>
      </c>
      <c r="E2919" t="str">
        <f>"2013"</f>
        <v>2013</v>
      </c>
      <c r="F2919" t="str">
        <f>"Wratten"</f>
        <v>Wratten</v>
      </c>
      <c r="G2919" t="str">
        <f>"avanddanesh"</f>
        <v>avanddanesh</v>
      </c>
    </row>
    <row r="2920" spans="1:7" x14ac:dyDescent="0.25">
      <c r="A2920" t="str">
        <f>"Ecosystem Services of Headwater Catchments"</f>
        <v>Ecosystem Services of Headwater Catchments</v>
      </c>
      <c r="B2920" t="str">
        <f>"9783319579450"</f>
        <v>9783319579450</v>
      </c>
      <c r="C2920">
        <v>134.99</v>
      </c>
      <c r="D2920" t="str">
        <f>"EUR"</f>
        <v>EUR</v>
      </c>
      <c r="E2920" t="str">
        <f>"2017"</f>
        <v>2017</v>
      </c>
      <c r="F2920" t="str">
        <f>"KÅ™eÄek"</f>
        <v>KÅ™eÄek</v>
      </c>
      <c r="G2920" t="str">
        <f>"negarestanabi"</f>
        <v>negarestanabi</v>
      </c>
    </row>
    <row r="2921" spans="1:7" x14ac:dyDescent="0.25">
      <c r="A2921" t="str">
        <f>"Ecosystem Sustainability and Adaptation"</f>
        <v>Ecosystem Sustainability and Adaptation</v>
      </c>
      <c r="B2921" t="str">
        <f>"9781848217034"</f>
        <v>9781848217034</v>
      </c>
      <c r="C2921">
        <v>112.5</v>
      </c>
      <c r="D2921" t="str">
        <f>"USD"</f>
        <v>USD</v>
      </c>
      <c r="E2921" t="str">
        <f>"2014"</f>
        <v>2014</v>
      </c>
      <c r="F2921" t="str">
        <f>"Monaco"</f>
        <v>Monaco</v>
      </c>
      <c r="G2921" t="str">
        <f>"avanddanesh"</f>
        <v>avanddanesh</v>
      </c>
    </row>
    <row r="2922" spans="1:7" x14ac:dyDescent="0.25">
      <c r="A2922" t="str">
        <f>"ECOTECHNOLOGY AND ENVIRONMENTAL ISSUES, HB"</f>
        <v>ECOTECHNOLOGY AND ENVIRONMENTAL ISSUES, HB</v>
      </c>
      <c r="B2922" t="str">
        <f>"9788170356172"</f>
        <v>9788170356172</v>
      </c>
      <c r="C2922">
        <v>48.16</v>
      </c>
      <c r="D2922" t="str">
        <f>"USD"</f>
        <v>USD</v>
      </c>
      <c r="E2922" t="str">
        <f>"2009"</f>
        <v>2009</v>
      </c>
      <c r="F2922" t="str">
        <f>"Kumar"</f>
        <v>Kumar</v>
      </c>
      <c r="G2922" t="str">
        <f>"supply"</f>
        <v>supply</v>
      </c>
    </row>
    <row r="2923" spans="1:7" x14ac:dyDescent="0.25">
      <c r="A2923" t="str">
        <f>"Ecotherapy : Theory, Research and PracticeÂ "</f>
        <v>Ecotherapy : Theory, Research and PracticeÂ </v>
      </c>
      <c r="B2923" t="str">
        <f>"9781137486875"</f>
        <v>9781137486875</v>
      </c>
      <c r="C2923">
        <v>23.2</v>
      </c>
      <c r="D2923" t="str">
        <f>"EUR"</f>
        <v>EUR</v>
      </c>
      <c r="E2923" t="str">
        <f>"2016"</f>
        <v>2016</v>
      </c>
      <c r="F2923" t="str">
        <f>"Martin JordanÂ Joe Hi"</f>
        <v>Martin JordanÂ Joe Hi</v>
      </c>
      <c r="G2923" t="str">
        <f>"arzinbooks"</f>
        <v>arzinbooks</v>
      </c>
    </row>
    <row r="2924" spans="1:7" x14ac:dyDescent="0.25">
      <c r="A2924" t="str">
        <f>"Ecotoxicological Effects"</f>
        <v>Ecotoxicological Effects</v>
      </c>
      <c r="B2924" t="str">
        <f>"9781785482144"</f>
        <v>9781785482144</v>
      </c>
      <c r="C2924">
        <v>90</v>
      </c>
      <c r="D2924" t="str">
        <f>"USD"</f>
        <v>USD</v>
      </c>
      <c r="E2924" t="str">
        <f>"2017"</f>
        <v>2017</v>
      </c>
      <c r="F2924" t="str">
        <f>"Pery and Garric"</f>
        <v>Pery and Garric</v>
      </c>
      <c r="G2924" t="str">
        <f>"dehkadehketab"</f>
        <v>dehkadehketab</v>
      </c>
    </row>
    <row r="2925" spans="1:7" x14ac:dyDescent="0.25">
      <c r="A2925" t="str">
        <f>"ECOTOXICOLOGY OF EXPLOSIVES"</f>
        <v>ECOTOXICOLOGY OF EXPLOSIVES</v>
      </c>
      <c r="B2925" t="str">
        <f>"9780849328398"</f>
        <v>9780849328398</v>
      </c>
      <c r="C2925">
        <v>25.5</v>
      </c>
      <c r="D2925" t="str">
        <f>"GBP"</f>
        <v>GBP</v>
      </c>
      <c r="E2925" t="str">
        <f>"2009"</f>
        <v>2009</v>
      </c>
      <c r="F2925" t="str">
        <f>"GUILHERME LOTUFO AN"</f>
        <v>GUILHERME LOTUFO AN</v>
      </c>
      <c r="G2925" t="str">
        <f>"AsarBartar"</f>
        <v>AsarBartar</v>
      </c>
    </row>
    <row r="2926" spans="1:7" x14ac:dyDescent="0.25">
      <c r="A2926" t="str">
        <f>"Efficiency and Sustainability in Biofuel Production: Environmental and Land-Use Research"</f>
        <v>Efficiency and Sustainability in Biofuel Production: Environmental and Land-Use Research</v>
      </c>
      <c r="B2926" t="str">
        <f>"9781771881319"</f>
        <v>9781771881319</v>
      </c>
      <c r="C2926">
        <v>86.7</v>
      </c>
      <c r="D2926" t="str">
        <f>"GBP"</f>
        <v>GBP</v>
      </c>
      <c r="E2926" t="str">
        <f>"2015"</f>
        <v>2015</v>
      </c>
      <c r="F2926" t="str">
        <f>"Barnabas Gikonyo(Ed"</f>
        <v>Barnabas Gikonyo(Ed</v>
      </c>
      <c r="G2926" t="str">
        <f>"AsarBartar"</f>
        <v>AsarBartar</v>
      </c>
    </row>
    <row r="2927" spans="1:7" x14ac:dyDescent="0.25">
      <c r="A2927" t="str">
        <f>"Efficiency in Sustainable Supply Chain"</f>
        <v>Efficiency in Sustainable Supply Chain</v>
      </c>
      <c r="B2927" t="str">
        <f>"9783319464503"</f>
        <v>9783319464503</v>
      </c>
      <c r="C2927">
        <v>107.99</v>
      </c>
      <c r="D2927" t="str">
        <f>"EUR"</f>
        <v>EUR</v>
      </c>
      <c r="E2927" t="str">
        <f>"2017"</f>
        <v>2017</v>
      </c>
      <c r="F2927" t="str">
        <f>"Golinska-Dawson"</f>
        <v>Golinska-Dawson</v>
      </c>
      <c r="G2927" t="str">
        <f>"negarestanabi"</f>
        <v>negarestanabi</v>
      </c>
    </row>
    <row r="2928" spans="1:7" x14ac:dyDescent="0.25">
      <c r="A2928" t="str">
        <f>"Efficiency of Biomass Energy: An Exergy Approach to Biofuels, Power, and Biorefineries"</f>
        <v>Efficiency of Biomass Energy: An Exergy Approach to Biofuels, Power, and Biorefineries</v>
      </c>
      <c r="B2928" t="str">
        <f>"9781118702109"</f>
        <v>9781118702109</v>
      </c>
      <c r="C2928">
        <v>165.8</v>
      </c>
      <c r="D2928" t="str">
        <f>"USD"</f>
        <v>USD</v>
      </c>
      <c r="E2928" t="str">
        <f>"2016"</f>
        <v>2016</v>
      </c>
      <c r="F2928" t="str">
        <f>"Ptasinski"</f>
        <v>Ptasinski</v>
      </c>
      <c r="G2928" t="str">
        <f>"avanddanesh"</f>
        <v>avanddanesh</v>
      </c>
    </row>
    <row r="2929" spans="1:7" x14ac:dyDescent="0.25">
      <c r="A2929" t="str">
        <f>"EIS: ORGANISING AND MANAGING THE WORK ENVIRONMENT"</f>
        <v>EIS: ORGANISING AND MANAGING THE WORK ENVIRONMENT</v>
      </c>
      <c r="B2929" t="str">
        <f>"9781408039892"</f>
        <v>9781408039892</v>
      </c>
      <c r="C2929">
        <v>4.79</v>
      </c>
      <c r="D2929" t="str">
        <f>"GBP"</f>
        <v>GBP</v>
      </c>
      <c r="E2929" t="str">
        <f>"2012"</f>
        <v>2012</v>
      </c>
      <c r="F2929" t="str">
        <f>"DOUGHTON/HOOPER"</f>
        <v>DOUGHTON/HOOPER</v>
      </c>
      <c r="G2929" t="str">
        <f>"AsarBartar"</f>
        <v>AsarBartar</v>
      </c>
    </row>
    <row r="2930" spans="1:7" x14ac:dyDescent="0.25">
      <c r="A2930" t="str">
        <f>"Electricity in Fish Research and Management: Theory and Practice,2e"</f>
        <v>Electricity in Fish Research and Management: Theory and Practice,2e</v>
      </c>
      <c r="B2930" t="str">
        <f>"9781118935583"</f>
        <v>9781118935583</v>
      </c>
      <c r="C2930">
        <v>80.8</v>
      </c>
      <c r="D2930" t="str">
        <f>"USD"</f>
        <v>USD</v>
      </c>
      <c r="E2930" t="str">
        <f>"2016"</f>
        <v>2016</v>
      </c>
      <c r="F2930" t="str">
        <f>"Beaumont"</f>
        <v>Beaumont</v>
      </c>
      <c r="G2930" t="str">
        <f>"avanddanesh"</f>
        <v>avanddanesh</v>
      </c>
    </row>
    <row r="2931" spans="1:7" x14ac:dyDescent="0.25">
      <c r="A2931" t="str">
        <f>"Electrochemical Remediation Technologies for Polluted Soils, Sediments and Groundwater"</f>
        <v>Electrochemical Remediation Technologies for Polluted Soils, Sediments and Groundwater</v>
      </c>
      <c r="B2931" t="str">
        <f>"9780470383438"</f>
        <v>9780470383438</v>
      </c>
      <c r="C2931">
        <v>134.25</v>
      </c>
      <c r="D2931" t="str">
        <f>"USD"</f>
        <v>USD</v>
      </c>
      <c r="E2931" t="str">
        <f>"2009"</f>
        <v>2009</v>
      </c>
      <c r="F2931" t="str">
        <f>"Reddy"</f>
        <v>Reddy</v>
      </c>
      <c r="G2931" t="str">
        <f>"safirketab"</f>
        <v>safirketab</v>
      </c>
    </row>
    <row r="2932" spans="1:7" x14ac:dyDescent="0.25">
      <c r="A2932" t="str">
        <f>"Electrochemical Water Treatment Methods, Fundamentals, Methods and Full Scale Applications"</f>
        <v>Electrochemical Water Treatment Methods, Fundamentals, Methods and Full Scale Applications</v>
      </c>
      <c r="B2932" t="str">
        <f>"9780128114629"</f>
        <v>9780128114629</v>
      </c>
      <c r="C2932">
        <v>108</v>
      </c>
      <c r="D2932" t="str">
        <f>"USD"</f>
        <v>USD</v>
      </c>
      <c r="E2932" t="str">
        <f>"2017"</f>
        <v>2017</v>
      </c>
      <c r="F2932" t="str">
        <f>"SillanpÃ¤Ã¤ and Shesta"</f>
        <v>SillanpÃ¤Ã¤ and Shesta</v>
      </c>
      <c r="G2932" t="str">
        <f>"arang"</f>
        <v>arang</v>
      </c>
    </row>
    <row r="2933" spans="1:7" x14ac:dyDescent="0.25">
      <c r="A2933" t="str">
        <f>"Electrokinetics Across Disciplines and Continents: New Strategies for Sustainable Development"</f>
        <v>Electrokinetics Across Disciplines and Continents: New Strategies for Sustainable Development</v>
      </c>
      <c r="B2933" t="str">
        <f>"9783319201788"</f>
        <v>9783319201788</v>
      </c>
      <c r="C2933">
        <v>116.99</v>
      </c>
      <c r="D2933" t="str">
        <f>"EUR"</f>
        <v>EUR</v>
      </c>
      <c r="E2933" t="str">
        <f>"2016"</f>
        <v>2016</v>
      </c>
      <c r="F2933" t="str">
        <f>"Ribeiro"</f>
        <v>Ribeiro</v>
      </c>
      <c r="G2933" t="str">
        <f>"negarestanabi"</f>
        <v>negarestanabi</v>
      </c>
    </row>
    <row r="2934" spans="1:7" x14ac:dyDescent="0.25">
      <c r="A2934" t="str">
        <f>"Electronic Waste, Toxicology and Public Health Issues"</f>
        <v>Electronic Waste, Toxicology and Public Health Issues</v>
      </c>
      <c r="B2934" t="str">
        <f>"9780128030684"</f>
        <v>9780128030684</v>
      </c>
      <c r="C2934">
        <v>112.5</v>
      </c>
      <c r="D2934" t="str">
        <f>"USD"</f>
        <v>USD</v>
      </c>
      <c r="E2934" t="str">
        <f>"2017"</f>
        <v>2017</v>
      </c>
      <c r="F2934" t="str">
        <f>"Fowler"</f>
        <v>Fowler</v>
      </c>
      <c r="G2934" t="str">
        <f>"dehkadehketab"</f>
        <v>dehkadehketab</v>
      </c>
    </row>
    <row r="2935" spans="1:7" x14ac:dyDescent="0.25">
      <c r="A2935" t="str">
        <f>"ELEMENTS OF ECOLOGICAL ECONOMICS"</f>
        <v>ELEMENTS OF ECOLOGICAL ECONOMICS</v>
      </c>
      <c r="B2935" t="str">
        <f>"9780415473811"</f>
        <v>9780415473811</v>
      </c>
      <c r="C2935">
        <v>10.49</v>
      </c>
      <c r="D2935" t="str">
        <f>"GBP"</f>
        <v>GBP</v>
      </c>
      <c r="E2935" t="str">
        <f>"2010"</f>
        <v>2010</v>
      </c>
      <c r="F2935" t="str">
        <f>"ANDERSSON, JAN OTTO"</f>
        <v>ANDERSSON, JAN OTTO</v>
      </c>
      <c r="G2935" t="str">
        <f>"AsarBartar"</f>
        <v>AsarBartar</v>
      </c>
    </row>
    <row r="2936" spans="1:7" x14ac:dyDescent="0.25">
      <c r="A2936" t="str">
        <f>"Emergency Response Management of Offshore Oil Spills: Guidelines for Emergency Responders"</f>
        <v>Emergency Response Management of Offshore Oil Spills: Guidelines for Emergency Responders</v>
      </c>
      <c r="B2936" t="str">
        <f>"9780470927120"</f>
        <v>9780470927120</v>
      </c>
      <c r="C2936">
        <v>81.599999999999994</v>
      </c>
      <c r="D2936" t="str">
        <f>"USD"</f>
        <v>USD</v>
      </c>
      <c r="E2936" t="str">
        <f>"2010"</f>
        <v>2010</v>
      </c>
      <c r="F2936" t="str">
        <f>"Cheremisinoff"</f>
        <v>Cheremisinoff</v>
      </c>
      <c r="G2936" t="str">
        <f>"avanddanesh"</f>
        <v>avanddanesh</v>
      </c>
    </row>
    <row r="2937" spans="1:7" x14ac:dyDescent="0.25">
      <c r="A2937" t="str">
        <f>"Emerging Issues in Groundwater Resources"</f>
        <v>Emerging Issues in Groundwater Resources</v>
      </c>
      <c r="B2937" t="str">
        <f>"9783319320069"</f>
        <v>9783319320069</v>
      </c>
      <c r="C2937">
        <v>134.99</v>
      </c>
      <c r="D2937" t="str">
        <f>"EUR"</f>
        <v>EUR</v>
      </c>
      <c r="E2937" t="str">
        <f>"2016"</f>
        <v>2016</v>
      </c>
      <c r="F2937" t="str">
        <f>"Fares"</f>
        <v>Fares</v>
      </c>
      <c r="G2937" t="str">
        <f>"negarestanabi"</f>
        <v>negarestanabi</v>
      </c>
    </row>
    <row r="2938" spans="1:7" x14ac:dyDescent="0.25">
      <c r="A2938" t="str">
        <f>"Emerging Pollutants: Origin, Structure, and Properties"</f>
        <v>Emerging Pollutants: Origin, Structure, and Properties</v>
      </c>
      <c r="B2938" t="str">
        <f>"9783527338764"</f>
        <v>9783527338764</v>
      </c>
      <c r="C2938">
        <v>207</v>
      </c>
      <c r="D2938" t="str">
        <f t="shared" ref="D2938:D2949" si="187">"USD"</f>
        <v>USD</v>
      </c>
      <c r="E2938" t="str">
        <f>"2017"</f>
        <v>2017</v>
      </c>
      <c r="F2938" t="str">
        <f>"Calvo-Flores"</f>
        <v>Calvo-Flores</v>
      </c>
      <c r="G2938" t="str">
        <f>"avanddanesh"</f>
        <v>avanddanesh</v>
      </c>
    </row>
    <row r="2939" spans="1:7" x14ac:dyDescent="0.25">
      <c r="A2939" t="str">
        <f>"Emerging Technologies for Sustainable Desalination Handbook"</f>
        <v>Emerging Technologies for Sustainable Desalination Handbook</v>
      </c>
      <c r="B2939" t="str">
        <f>"9780128157725"</f>
        <v>9780128157725</v>
      </c>
      <c r="C2939">
        <v>225</v>
      </c>
      <c r="D2939" t="str">
        <f t="shared" si="187"/>
        <v>USD</v>
      </c>
      <c r="E2939" t="str">
        <f>"2018"</f>
        <v>2018</v>
      </c>
      <c r="F2939" t="str">
        <f>"Gude"</f>
        <v>Gude</v>
      </c>
      <c r="G2939" t="str">
        <f>"dehkadehketab"</f>
        <v>dehkadehketab</v>
      </c>
    </row>
    <row r="2940" spans="1:7" x14ac:dyDescent="0.25">
      <c r="A2940" t="str">
        <f>"EMERGING TRENDS IN WATERSHED MANAGEMENT, HB"</f>
        <v>EMERGING TRENDS IN WATERSHED MANAGEMENT, HB</v>
      </c>
      <c r="B2940" t="str">
        <f>"9788189304737"</f>
        <v>9788189304737</v>
      </c>
      <c r="C2940">
        <v>58.24</v>
      </c>
      <c r="D2940" t="str">
        <f t="shared" si="187"/>
        <v>USD</v>
      </c>
      <c r="E2940" t="str">
        <f>"2010"</f>
        <v>2010</v>
      </c>
      <c r="F2940" t="str">
        <f>"Yadav "</f>
        <v xml:space="preserve">Yadav </v>
      </c>
      <c r="G2940" t="str">
        <f t="shared" ref="G2940:G2948" si="188">"supply"</f>
        <v>supply</v>
      </c>
    </row>
    <row r="2941" spans="1:7" x14ac:dyDescent="0.25">
      <c r="A2941" t="str">
        <f>"ENCYCLOPAEDIA OF ENVIRONMENTAL POLLUTION, Set of 10 vols, HB"</f>
        <v>ENCYCLOPAEDIA OF ENVIRONMENTAL POLLUTION, Set of 10 vols, HB</v>
      </c>
      <c r="B2941" t="str">
        <f>"9788183421867"</f>
        <v>9788183421867</v>
      </c>
      <c r="C2941">
        <v>179.97</v>
      </c>
      <c r="D2941" t="str">
        <f t="shared" si="187"/>
        <v>USD</v>
      </c>
      <c r="E2941" t="str">
        <f>"2009"</f>
        <v>2009</v>
      </c>
      <c r="F2941" t="str">
        <f>"Prasad"</f>
        <v>Prasad</v>
      </c>
      <c r="G2941" t="str">
        <f t="shared" si="188"/>
        <v>supply</v>
      </c>
    </row>
    <row r="2942" spans="1:7" x14ac:dyDescent="0.25">
      <c r="A2942" t="str">
        <f>"Encyclopaedia Of Environmental Science &amp; Technology, Set Of 8 Vols, HB"</f>
        <v>Encyclopaedia Of Environmental Science &amp; Technology, Set Of 8 Vols, HB</v>
      </c>
      <c r="B2942" t="str">
        <f>"9788131310427"</f>
        <v>9788131310427</v>
      </c>
      <c r="C2942">
        <v>108.36</v>
      </c>
      <c r="D2942" t="str">
        <f t="shared" si="187"/>
        <v>USD</v>
      </c>
      <c r="E2942" t="str">
        <f>"2012"</f>
        <v>2012</v>
      </c>
      <c r="F2942" t="str">
        <f>"Sabanna"</f>
        <v>Sabanna</v>
      </c>
      <c r="G2942" t="str">
        <f t="shared" si="188"/>
        <v>supply</v>
      </c>
    </row>
    <row r="2943" spans="1:7" x14ac:dyDescent="0.25">
      <c r="A2943" t="str">
        <f>"Encyclopaedia Of Environmentally Sustainable Green Science, Set of 5 vols, HB"</f>
        <v>Encyclopaedia Of Environmentally Sustainable Green Science, Set of 5 vols, HB</v>
      </c>
      <c r="B2943" t="str">
        <f>"9788126138425"</f>
        <v>9788126138425</v>
      </c>
      <c r="C2943">
        <v>233.31</v>
      </c>
      <c r="D2943" t="str">
        <f t="shared" si="187"/>
        <v>USD</v>
      </c>
      <c r="E2943" t="str">
        <f>"2009"</f>
        <v>2009</v>
      </c>
      <c r="F2943" t="str">
        <f>"Patnaik"</f>
        <v>Patnaik</v>
      </c>
      <c r="G2943" t="str">
        <f t="shared" si="188"/>
        <v>supply</v>
      </c>
    </row>
    <row r="2944" spans="1:7" x14ac:dyDescent="0.25">
      <c r="A2944" t="str">
        <f>"ENCYCLOPAEDIA OF FOOD ANALYSIS, Set of 3 vols, HB"</f>
        <v>ENCYCLOPAEDIA OF FOOD ANALYSIS, Set of 3 vols, HB</v>
      </c>
      <c r="B2944" t="str">
        <f>"9788131308806"</f>
        <v>9788131308806</v>
      </c>
      <c r="C2944">
        <v>77.7</v>
      </c>
      <c r="D2944" t="str">
        <f t="shared" si="187"/>
        <v>USD</v>
      </c>
      <c r="E2944" t="str">
        <f>"2010"</f>
        <v>2010</v>
      </c>
      <c r="F2944" t="str">
        <f>"Mahindru"</f>
        <v>Mahindru</v>
      </c>
      <c r="G2944" t="str">
        <f t="shared" si="188"/>
        <v>supply</v>
      </c>
    </row>
    <row r="2945" spans="1:7" x14ac:dyDescent="0.25">
      <c r="A2945" t="str">
        <f>"ENCYCLOPAEDIA OF HAZARDOUS WASTE MANAGEMENT, Set of 6 vols, HB"</f>
        <v>ENCYCLOPAEDIA OF HAZARDOUS WASTE MANAGEMENT, Set of 6 vols, HB</v>
      </c>
      <c r="B2945" t="str">
        <f>"9798178886083"</f>
        <v>9798178886083</v>
      </c>
      <c r="C2945">
        <v>184.73</v>
      </c>
      <c r="D2945" t="str">
        <f t="shared" si="187"/>
        <v>USD</v>
      </c>
      <c r="E2945" t="str">
        <f>"2011"</f>
        <v>2011</v>
      </c>
      <c r="F2945" t="str">
        <f>"Behera"</f>
        <v>Behera</v>
      </c>
      <c r="G2945" t="str">
        <f t="shared" si="188"/>
        <v>supply</v>
      </c>
    </row>
    <row r="2946" spans="1:7" x14ac:dyDescent="0.25">
      <c r="A2946" t="str">
        <f>"Encyclopaedia Of International Environment And Management, Set of 3 vols, HB"</f>
        <v>Encyclopaedia Of International Environment And Management, Set of 3 vols, HB</v>
      </c>
      <c r="B2946" t="str">
        <f>"9788126137442"</f>
        <v>9788126137442</v>
      </c>
      <c r="C2946">
        <v>78.75</v>
      </c>
      <c r="D2946" t="str">
        <f t="shared" si="187"/>
        <v>USD</v>
      </c>
      <c r="E2946" t="str">
        <f>"2009"</f>
        <v>2009</v>
      </c>
      <c r="F2946" t="str">
        <f>"Sethi"</f>
        <v>Sethi</v>
      </c>
      <c r="G2946" t="str">
        <f t="shared" si="188"/>
        <v>supply</v>
      </c>
    </row>
    <row r="2947" spans="1:7" x14ac:dyDescent="0.25">
      <c r="A2947" t="str">
        <f>"Encyclopaedia Of World Environment, Set of 5 vols, HB"</f>
        <v>Encyclopaedia Of World Environment, Set of 5 vols, HB</v>
      </c>
      <c r="B2947" t="str">
        <f>"9788170480402"</f>
        <v>9788170480402</v>
      </c>
      <c r="C2947">
        <v>97.23</v>
      </c>
      <c r="D2947" t="str">
        <f t="shared" si="187"/>
        <v>USD</v>
      </c>
      <c r="E2947" t="str">
        <f>"2011"</f>
        <v>2011</v>
      </c>
      <c r="F2947" t="str">
        <f>"Thou"</f>
        <v>Thou</v>
      </c>
      <c r="G2947" t="str">
        <f t="shared" si="188"/>
        <v>supply</v>
      </c>
    </row>
    <row r="2948" spans="1:7" x14ac:dyDescent="0.25">
      <c r="A2948" t="str">
        <f>"ENCYCLOPEDIA OF ENVIRONMENT SCIENCE, HB"</f>
        <v>ENCYCLOPEDIA OF ENVIRONMENT SCIENCE, HB</v>
      </c>
      <c r="B2948" t="str">
        <f>"9788189741518"</f>
        <v>9788189741518</v>
      </c>
      <c r="C2948">
        <v>19.88</v>
      </c>
      <c r="D2948" t="str">
        <f t="shared" si="187"/>
        <v>USD</v>
      </c>
      <c r="E2948" t="str">
        <f>"2007"</f>
        <v>2007</v>
      </c>
      <c r="F2948" t="str">
        <f>"Jawadekar"</f>
        <v>Jawadekar</v>
      </c>
      <c r="G2948" t="str">
        <f t="shared" si="188"/>
        <v>supply</v>
      </c>
    </row>
    <row r="2949" spans="1:7" x14ac:dyDescent="0.25">
      <c r="A2949" t="str">
        <f>"Encyclopedia of Environmetrics,2e, 6V Set"</f>
        <v>Encyclopedia of Environmetrics,2e, 6V Set</v>
      </c>
      <c r="B2949" t="str">
        <f>"9780470973882"</f>
        <v>9780470973882</v>
      </c>
      <c r="C2949">
        <v>1044</v>
      </c>
      <c r="D2949" t="str">
        <f t="shared" si="187"/>
        <v>USD</v>
      </c>
      <c r="E2949" t="str">
        <f>"2012"</f>
        <v>2012</v>
      </c>
      <c r="F2949" t="str">
        <f>"El-Shaarawi"</f>
        <v>El-Shaarawi</v>
      </c>
      <c r="G2949" t="str">
        <f>"avanddanesh"</f>
        <v>avanddanesh</v>
      </c>
    </row>
    <row r="2950" spans="1:7" x14ac:dyDescent="0.25">
      <c r="A2950" t="str">
        <f>"ENCYCLOPEDIA OF WATER SCIENCE"</f>
        <v>ENCYCLOPEDIA OF WATER SCIENCE</v>
      </c>
      <c r="B2950" t="str">
        <f>"9780849396274"</f>
        <v>9780849396274</v>
      </c>
      <c r="C2950">
        <v>199.8</v>
      </c>
      <c r="D2950" t="str">
        <f>"GBP"</f>
        <v>GBP</v>
      </c>
      <c r="E2950" t="str">
        <f>"2008"</f>
        <v>2008</v>
      </c>
      <c r="F2950" t="str">
        <f>"STANLEY W. TRIMBLE"</f>
        <v>STANLEY W. TRIMBLE</v>
      </c>
      <c r="G2950" t="str">
        <f>"AsarBartar"</f>
        <v>AsarBartar</v>
      </c>
    </row>
    <row r="2951" spans="1:7" x14ac:dyDescent="0.25">
      <c r="A2951" t="str">
        <f>"ENCYCLOPEDIA OF WATER SCIENCE, HB"</f>
        <v>ENCYCLOPEDIA OF WATER SCIENCE, HB</v>
      </c>
      <c r="B2951" t="str">
        <f>"9789380090207"</f>
        <v>9789380090207</v>
      </c>
      <c r="C2951">
        <v>38.5</v>
      </c>
      <c r="D2951" t="str">
        <f>"USD"</f>
        <v>USD</v>
      </c>
      <c r="E2951" t="str">
        <f>"2012"</f>
        <v>2012</v>
      </c>
      <c r="F2951" t="str">
        <f>"Singh"</f>
        <v>Singh</v>
      </c>
      <c r="G2951" t="str">
        <f>"supply"</f>
        <v>supply</v>
      </c>
    </row>
    <row r="2952" spans="1:7" x14ac:dyDescent="0.25">
      <c r="A2952" t="str">
        <f>"Ending the Fossil Fuel Era"</f>
        <v>Ending the Fossil Fuel Era</v>
      </c>
      <c r="B2952" t="str">
        <f>"9780262028806"</f>
        <v>9780262028806</v>
      </c>
      <c r="C2952">
        <v>47.6</v>
      </c>
      <c r="D2952" t="str">
        <f>"USD"</f>
        <v>USD</v>
      </c>
      <c r="E2952" t="str">
        <f>"2015"</f>
        <v>2015</v>
      </c>
      <c r="F2952" t="str">
        <f>"Thomas Princen(Edit"</f>
        <v>Thomas Princen(Edit</v>
      </c>
      <c r="G2952" t="str">
        <f>"AsarBartar"</f>
        <v>AsarBartar</v>
      </c>
    </row>
    <row r="2953" spans="1:7" x14ac:dyDescent="0.25">
      <c r="A2953" t="str">
        <f>"Energy and American Society â€“ Thirteen Myths"</f>
        <v>Energy and American Society â€“ Thirteen Myths</v>
      </c>
      <c r="B2953" t="str">
        <f>"9781402055638"</f>
        <v>9781402055638</v>
      </c>
      <c r="C2953">
        <v>43.99</v>
      </c>
      <c r="D2953" t="str">
        <f>"USD"</f>
        <v>USD</v>
      </c>
      <c r="E2953" t="str">
        <f>"2007"</f>
        <v>2007</v>
      </c>
      <c r="F2953" t="str">
        <f>"Sovacool,B.K.(Eds)"</f>
        <v>Sovacool,B.K.(Eds)</v>
      </c>
      <c r="G2953" t="str">
        <f>"safirketab"</f>
        <v>safirketab</v>
      </c>
    </row>
    <row r="2954" spans="1:7" x14ac:dyDescent="0.25">
      <c r="A2954" t="str">
        <f>"Energy and Global Climate Change: Bridging the Sustainable Development Divide"</f>
        <v>Energy and Global Climate Change: Bridging the Sustainable Development Divide</v>
      </c>
      <c r="B2954" t="str">
        <f>"9781118845608"</f>
        <v>9781118845608</v>
      </c>
      <c r="C2954">
        <v>40</v>
      </c>
      <c r="D2954" t="str">
        <f>"USD"</f>
        <v>USD</v>
      </c>
      <c r="E2954" t="str">
        <f>"2015"</f>
        <v>2015</v>
      </c>
      <c r="F2954" t="str">
        <f>"Cherian"</f>
        <v>Cherian</v>
      </c>
      <c r="G2954" t="str">
        <f>"avanddanesh"</f>
        <v>avanddanesh</v>
      </c>
    </row>
    <row r="2955" spans="1:7" x14ac:dyDescent="0.25">
      <c r="A2955" t="str">
        <f>"ENERGY AND SUSTAINABILITY II, HB"</f>
        <v>ENERGY AND SUSTAINABILITY II, HB</v>
      </c>
      <c r="B2955" t="str">
        <f>"9781845641917"</f>
        <v>9781845641917</v>
      </c>
      <c r="C2955">
        <v>171.5</v>
      </c>
      <c r="D2955" t="str">
        <f>"GBP"</f>
        <v>GBP</v>
      </c>
      <c r="E2955" t="str">
        <f>"2009"</f>
        <v>2009</v>
      </c>
      <c r="F2955" t="str">
        <f>"Mammoli"</f>
        <v>Mammoli</v>
      </c>
      <c r="G2955" t="str">
        <f>"supply"</f>
        <v>supply</v>
      </c>
    </row>
    <row r="2956" spans="1:7" x14ac:dyDescent="0.25">
      <c r="A2956" t="str">
        <f>"Energy Balance Climate Models"</f>
        <v>Energy Balance Climate Models</v>
      </c>
      <c r="B2956" t="str">
        <f>"9783527411320"</f>
        <v>9783527411320</v>
      </c>
      <c r="C2956">
        <v>193.5</v>
      </c>
      <c r="D2956" t="str">
        <f>"USD"</f>
        <v>USD</v>
      </c>
      <c r="E2956" t="str">
        <f>"2017"</f>
        <v>2017</v>
      </c>
      <c r="F2956" t="str">
        <f>"North"</f>
        <v>North</v>
      </c>
      <c r="G2956" t="str">
        <f>"avanddanesh"</f>
        <v>avanddanesh</v>
      </c>
    </row>
    <row r="2957" spans="1:7" x14ac:dyDescent="0.25">
      <c r="A2957" t="str">
        <f>"Energy Conservation Guidebook, Third Edition"</f>
        <v>Energy Conservation Guidebook, Third Edition</v>
      </c>
      <c r="B2957" t="str">
        <f>"9781482255690"</f>
        <v>9781482255690</v>
      </c>
      <c r="C2957">
        <v>70.400000000000006</v>
      </c>
      <c r="D2957" t="str">
        <f>"GBP"</f>
        <v>GBP</v>
      </c>
      <c r="E2957" t="str">
        <f>"2014"</f>
        <v>2014</v>
      </c>
      <c r="F2957" t="str">
        <f>"Brian W. Fardo"</f>
        <v>Brian W. Fardo</v>
      </c>
      <c r="G2957" t="str">
        <f>"AsarBartar"</f>
        <v>AsarBartar</v>
      </c>
    </row>
    <row r="2958" spans="1:7" x14ac:dyDescent="0.25">
      <c r="A2958" t="str">
        <f>"Energy Efficient Buildings with Solar and Geothermal Resources"</f>
        <v>Energy Efficient Buildings with Solar and Geothermal Resources</v>
      </c>
      <c r="B2958" t="str">
        <f>"9781118352243"</f>
        <v>9781118352243</v>
      </c>
      <c r="C2958">
        <v>75</v>
      </c>
      <c r="D2958" t="str">
        <f>"USD"</f>
        <v>USD</v>
      </c>
      <c r="E2958" t="str">
        <f>"2014"</f>
        <v>2014</v>
      </c>
      <c r="F2958" t="str">
        <f>"Eicker"</f>
        <v>Eicker</v>
      </c>
      <c r="G2958" t="str">
        <f>"avanddanesh"</f>
        <v>avanddanesh</v>
      </c>
    </row>
    <row r="2959" spans="1:7" x14ac:dyDescent="0.25">
      <c r="A2959" t="str">
        <f>"ENERGY FOR THE 21ST CENTURY"</f>
        <v>ENERGY FOR THE 21ST CENTURY</v>
      </c>
      <c r="B2959" t="str">
        <f>"9781849804219"</f>
        <v>9781849804219</v>
      </c>
      <c r="C2959">
        <v>70.2</v>
      </c>
      <c r="D2959" t="str">
        <f>"GBP"</f>
        <v>GBP</v>
      </c>
      <c r="E2959" t="str">
        <f>"2013"</f>
        <v>2013</v>
      </c>
      <c r="F2959" t="str">
        <f>"SAKMAR, S.L."</f>
        <v>SAKMAR, S.L.</v>
      </c>
      <c r="G2959" t="str">
        <f>"AsarBartar"</f>
        <v>AsarBartar</v>
      </c>
    </row>
    <row r="2960" spans="1:7" x14ac:dyDescent="0.25">
      <c r="A2960" t="str">
        <f>"Energy Resources: Availability, Management, and Environmental Impacts (Energy and the Environment)"</f>
        <v>Energy Resources: Availability, Management, and Environmental Impacts (Energy and the Environment)</v>
      </c>
      <c r="B2960" t="str">
        <f>"9781466517400"</f>
        <v>9781466517400</v>
      </c>
      <c r="C2960">
        <v>88</v>
      </c>
      <c r="D2960" t="str">
        <f>"GBP"</f>
        <v>GBP</v>
      </c>
      <c r="E2960" t="str">
        <f>"2014"</f>
        <v>2014</v>
      </c>
      <c r="F2960" t="str">
        <f>"Louis Theodore"</f>
        <v>Louis Theodore</v>
      </c>
      <c r="G2960" t="str">
        <f>"AsarBartar"</f>
        <v>AsarBartar</v>
      </c>
    </row>
    <row r="2961" spans="1:7" x14ac:dyDescent="0.25">
      <c r="A2961" t="str">
        <f>"Energy, Environment, and Climate 3e                                                                                                                     "</f>
        <v xml:space="preserve">Energy, Environment, and Climate 3e                                                                                                                     </v>
      </c>
      <c r="B2961" t="str">
        <f>"9780393622911"</f>
        <v>9780393622911</v>
      </c>
      <c r="C2961">
        <v>100.94</v>
      </c>
      <c r="D2961" t="str">
        <f>"USD"</f>
        <v>USD</v>
      </c>
      <c r="E2961" t="str">
        <f>"2017"</f>
        <v>2017</v>
      </c>
      <c r="F2961" t="str">
        <f>"Wolfson        "</f>
        <v xml:space="preserve">Wolfson        </v>
      </c>
      <c r="G2961" t="str">
        <f>"jahanadib"</f>
        <v>jahanadib</v>
      </c>
    </row>
    <row r="2962" spans="1:7" x14ac:dyDescent="0.25">
      <c r="A2962" t="str">
        <f>"Energy, Environment, and Climate 3e                                                                                                                     "</f>
        <v xml:space="preserve">Energy, Environment, and Climate 3e                                                                                                                     </v>
      </c>
      <c r="B2962" t="str">
        <f>"9780393622911"</f>
        <v>9780393622911</v>
      </c>
      <c r="C2962">
        <v>100.93</v>
      </c>
      <c r="D2962" t="str">
        <f>"USD"</f>
        <v>USD</v>
      </c>
      <c r="E2962" t="str">
        <f>"2017"</f>
        <v>2017</v>
      </c>
      <c r="F2962" t="str">
        <f>"Wolfson        "</f>
        <v xml:space="preserve">Wolfson        </v>
      </c>
      <c r="G2962" t="str">
        <f>"safirketab"</f>
        <v>safirketab</v>
      </c>
    </row>
    <row r="2963" spans="1:7" x14ac:dyDescent="0.25">
      <c r="A2963" t="str">
        <f>"Engineered Nanoparticles and the Environment: Biophysicochemical Processes and Toxicity"</f>
        <v>Engineered Nanoparticles and the Environment: Biophysicochemical Processes and Toxicity</v>
      </c>
      <c r="B2963" t="str">
        <f>"9781119275824"</f>
        <v>9781119275824</v>
      </c>
      <c r="C2963">
        <v>165.8</v>
      </c>
      <c r="D2963" t="str">
        <f>"USD"</f>
        <v>USD</v>
      </c>
      <c r="E2963" t="str">
        <f>"2016"</f>
        <v>2016</v>
      </c>
      <c r="F2963" t="str">
        <f>"Xing"</f>
        <v>Xing</v>
      </c>
      <c r="G2963" t="str">
        <f>"avanddanesh"</f>
        <v>avanddanesh</v>
      </c>
    </row>
    <row r="2964" spans="1:7" x14ac:dyDescent="0.25">
      <c r="A2964" t="str">
        <f>"Engineering Hydrology for Natural Resources Engineers,2e"</f>
        <v>Engineering Hydrology for Natural Resources Engineers,2e</v>
      </c>
      <c r="B2964" t="str">
        <f>"9781118928721"</f>
        <v>9781118928721</v>
      </c>
      <c r="C2964">
        <v>72.3</v>
      </c>
      <c r="D2964" t="str">
        <f>"USD"</f>
        <v>USD</v>
      </c>
      <c r="E2964" t="str">
        <f>"2016"</f>
        <v>2016</v>
      </c>
      <c r="F2964" t="str">
        <f>"Tollner"</f>
        <v>Tollner</v>
      </c>
      <c r="G2964" t="str">
        <f>"avanddanesh"</f>
        <v>avanddanesh</v>
      </c>
    </row>
    <row r="2965" spans="1:7" x14ac:dyDescent="0.25">
      <c r="A2965" t="str">
        <f>"Engineering Practices for Agricultural Production and Water Conservation: Production of Functional and Flexible Materials (Innovations in Agricultura"</f>
        <v>Engineering Practices for Agricultural Production and Water Conservation: Production of Functional and Flexible Materials (Innovations in Agricultura</v>
      </c>
      <c r="B2965" t="str">
        <f>"9781771884518"</f>
        <v>9781771884518</v>
      </c>
      <c r="C2965">
        <v>84.15</v>
      </c>
      <c r="D2965" t="str">
        <f>"GBP"</f>
        <v>GBP</v>
      </c>
      <c r="E2965" t="str">
        <f>"2016"</f>
        <v>2016</v>
      </c>
      <c r="F2965" t="str">
        <f>"Megh R. Goyal(Edito"</f>
        <v>Megh R. Goyal(Edito</v>
      </c>
      <c r="G2965" t="str">
        <f>"AsarBartar"</f>
        <v>AsarBartar</v>
      </c>
    </row>
    <row r="2966" spans="1:7" x14ac:dyDescent="0.25">
      <c r="A2966" t="str">
        <f>"Engineering Tools For Environmental Risk Management :Enviromental Toxicology"</f>
        <v>Engineering Tools For Environmental Risk Management :Enviromental Toxicology</v>
      </c>
      <c r="B2966" t="str">
        <f>"9781138001558"</f>
        <v>9781138001558</v>
      </c>
      <c r="C2966">
        <v>53.55</v>
      </c>
      <c r="D2966" t="str">
        <f>"GBP"</f>
        <v>GBP</v>
      </c>
      <c r="E2966" t="str">
        <f>"2015"</f>
        <v>2015</v>
      </c>
      <c r="F2966" t="str">
        <f>"EVA FENYVESI(EDITOR"</f>
        <v>EVA FENYVESI(EDITOR</v>
      </c>
      <c r="G2966" t="str">
        <f>"AsarBartar"</f>
        <v>AsarBartar</v>
      </c>
    </row>
    <row r="2967" spans="1:7" x14ac:dyDescent="0.25">
      <c r="A2967" t="str">
        <f>"Enhancing Cleanup of Environmental Pollutants: Volume 1: Biological Approaches"</f>
        <v>Enhancing Cleanup of Environmental Pollutants: Volume 1: Biological Approaches</v>
      </c>
      <c r="B2967" t="str">
        <f>"9783319554259"</f>
        <v>9783319554259</v>
      </c>
      <c r="C2967">
        <v>134.99</v>
      </c>
      <c r="D2967" t="str">
        <f>"EUR"</f>
        <v>EUR</v>
      </c>
      <c r="E2967" t="str">
        <f>"2017"</f>
        <v>2017</v>
      </c>
      <c r="F2967" t="str">
        <f>"Anjum"</f>
        <v>Anjum</v>
      </c>
      <c r="G2967" t="str">
        <f>"negarestanabi"</f>
        <v>negarestanabi</v>
      </c>
    </row>
    <row r="2968" spans="1:7" x14ac:dyDescent="0.25">
      <c r="A2968" t="str">
        <f>"Enhancing Cleanup of Environmental Pollutants: Volume 2: Non-Biological Approaches"</f>
        <v>Enhancing Cleanup of Environmental Pollutants: Volume 2: Non-Biological Approaches</v>
      </c>
      <c r="B2968" t="str">
        <f>"9783319554228"</f>
        <v>9783319554228</v>
      </c>
      <c r="C2968">
        <v>134.99</v>
      </c>
      <c r="D2968" t="str">
        <f>"EUR"</f>
        <v>EUR</v>
      </c>
      <c r="E2968" t="str">
        <f>"2017"</f>
        <v>2017</v>
      </c>
      <c r="F2968" t="str">
        <f>"Anjum"</f>
        <v>Anjum</v>
      </c>
      <c r="G2968" t="str">
        <f>"negarestanabi"</f>
        <v>negarestanabi</v>
      </c>
    </row>
    <row r="2969" spans="1:7" x14ac:dyDescent="0.25">
      <c r="A2969" t="str">
        <f>"Entropy Theory and its Application in Environmental and Water Engineering"</f>
        <v>Entropy Theory and its Application in Environmental and Water Engineering</v>
      </c>
      <c r="B2969" t="str">
        <f>"9781119976561"</f>
        <v>9781119976561</v>
      </c>
      <c r="C2969">
        <v>84.5</v>
      </c>
      <c r="D2969" t="str">
        <f>"USD"</f>
        <v>USD</v>
      </c>
      <c r="E2969" t="str">
        <f>"2013"</f>
        <v>2013</v>
      </c>
      <c r="F2969" t="str">
        <f>"Singh"</f>
        <v>Singh</v>
      </c>
      <c r="G2969" t="str">
        <f>"avanddanesh"</f>
        <v>avanddanesh</v>
      </c>
    </row>
    <row r="2970" spans="1:7" x14ac:dyDescent="0.25">
      <c r="A2970" t="str">
        <f>"ENV POLICY HOUSEHOLD BEHAVIOUR"</f>
        <v>ENV POLICY HOUSEHOLD BEHAVIOUR</v>
      </c>
      <c r="B2970" t="str">
        <f>"9781844078974"</f>
        <v>9781844078974</v>
      </c>
      <c r="C2970">
        <v>19.5</v>
      </c>
      <c r="D2970" t="str">
        <f>"GBP"</f>
        <v>GBP</v>
      </c>
      <c r="E2970" t="str">
        <f>"2010"</f>
        <v>2010</v>
      </c>
      <c r="F2970" t="str">
        <f>"Soderholm, Patrik"</f>
        <v>Soderholm, Patrik</v>
      </c>
      <c r="G2970" t="str">
        <f>"AsarBartar"</f>
        <v>AsarBartar</v>
      </c>
    </row>
    <row r="2971" spans="1:7" x14ac:dyDescent="0.25">
      <c r="A2971" t="str">
        <f>"Environemental Science : Botanical &amp; Forestry Perspective, HB"</f>
        <v>Environemental Science : Botanical &amp; Forestry Perspective, HB</v>
      </c>
      <c r="B2971" t="str">
        <f>"9789380428505"</f>
        <v>9789380428505</v>
      </c>
      <c r="C2971">
        <v>25.06</v>
      </c>
      <c r="D2971" t="str">
        <f>"USD"</f>
        <v>USD</v>
      </c>
      <c r="E2971" t="str">
        <f>"2012"</f>
        <v>2012</v>
      </c>
      <c r="F2971" t="str">
        <f>"Sett"</f>
        <v>Sett</v>
      </c>
      <c r="G2971" t="str">
        <f>"supply"</f>
        <v>supply</v>
      </c>
    </row>
    <row r="2972" spans="1:7" x14ac:dyDescent="0.25">
      <c r="A2972" t="str">
        <f>"ENVIRONMENT &amp; HEALTH EFFECTS, HB"</f>
        <v>ENVIRONMENT &amp; HEALTH EFFECTS, HB</v>
      </c>
      <c r="B2972" t="str">
        <f>"9781926686356"</f>
        <v>9781926686356</v>
      </c>
      <c r="C2972">
        <v>93.1</v>
      </c>
      <c r="D2972" t="str">
        <f>"USD"</f>
        <v>USD</v>
      </c>
      <c r="E2972" t="str">
        <f>"2010"</f>
        <v>2010</v>
      </c>
      <c r="F2972" t="str">
        <f>"Dubois"</f>
        <v>Dubois</v>
      </c>
      <c r="G2972" t="str">
        <f>"supply"</f>
        <v>supply</v>
      </c>
    </row>
    <row r="2973" spans="1:7" x14ac:dyDescent="0.25">
      <c r="A2973" t="str">
        <f>"ENVIRONMENT &amp; HEALTH, HB"</f>
        <v>ENVIRONMENT &amp; HEALTH, HB</v>
      </c>
      <c r="B2973" t="str">
        <f>"9781845641306"</f>
        <v>9781845641306</v>
      </c>
      <c r="C2973">
        <v>50.4</v>
      </c>
      <c r="D2973" t="str">
        <f>"GBP"</f>
        <v>GBP</v>
      </c>
      <c r="E2973" t="str">
        <f>"2008"</f>
        <v>2008</v>
      </c>
      <c r="F2973" t="str">
        <f>"Duncan"</f>
        <v>Duncan</v>
      </c>
      <c r="G2973" t="str">
        <f>"supply"</f>
        <v>supply</v>
      </c>
    </row>
    <row r="2974" spans="1:7" x14ac:dyDescent="0.25">
      <c r="A2974" t="str">
        <f>"ENVIRONMENT LAW AND CLIMATE CHANGE, HB"</f>
        <v>ENVIRONMENT LAW AND CLIMATE CHANGE, HB</v>
      </c>
      <c r="B2974" t="str">
        <f>"9789380090160"</f>
        <v>9789380090160</v>
      </c>
      <c r="C2974">
        <v>30.8</v>
      </c>
      <c r="D2974" t="str">
        <f>"USD"</f>
        <v>USD</v>
      </c>
      <c r="E2974" t="str">
        <f>"2010"</f>
        <v>2010</v>
      </c>
      <c r="F2974" t="str">
        <f>"Singh"</f>
        <v>Singh</v>
      </c>
      <c r="G2974" t="str">
        <f>"supply"</f>
        <v>supply</v>
      </c>
    </row>
    <row r="2975" spans="1:7" x14ac:dyDescent="0.25">
      <c r="A2975" t="str">
        <f>"ENVIRONMENT, BIODIVERSITY AND CONSERVATION, HB"</f>
        <v>ENVIRONMENT, BIODIVERSITY AND CONSERVATION, HB</v>
      </c>
      <c r="B2975" t="str">
        <f>"9788176481649"</f>
        <v>9788176481649</v>
      </c>
      <c r="C2975">
        <v>43.68</v>
      </c>
      <c r="D2975" t="str">
        <f>"USD"</f>
        <v>USD</v>
      </c>
      <c r="E2975" t="str">
        <f>"2012"</f>
        <v>2012</v>
      </c>
      <c r="F2975" t="str">
        <f>"Khan"</f>
        <v>Khan</v>
      </c>
      <c r="G2975" t="str">
        <f>"supply"</f>
        <v>supply</v>
      </c>
    </row>
    <row r="2976" spans="1:7" x14ac:dyDescent="0.25">
      <c r="A2976" t="str">
        <f>"Environment, ISV,8e"</f>
        <v>Environment, ISV,8e</v>
      </c>
      <c r="B2976" t="str">
        <f>"9781118092378"</f>
        <v>9781118092378</v>
      </c>
      <c r="C2976">
        <v>21</v>
      </c>
      <c r="D2976" t="str">
        <f>"USD"</f>
        <v>USD</v>
      </c>
      <c r="E2976" t="str">
        <f>"2012"</f>
        <v>2012</v>
      </c>
      <c r="F2976" t="str">
        <f>"Raven"</f>
        <v>Raven</v>
      </c>
      <c r="G2976" t="str">
        <f>"avanddanesh"</f>
        <v>avanddanesh</v>
      </c>
    </row>
    <row r="2977" spans="1:7" x14ac:dyDescent="0.25">
      <c r="A2977" t="str">
        <f>"Environment: Pollution and Protection"</f>
        <v>Environment: Pollution and Protection</v>
      </c>
      <c r="B2977" t="str">
        <f>"9788184874105"</f>
        <v>9788184874105</v>
      </c>
      <c r="C2977">
        <v>31.47</v>
      </c>
      <c r="D2977" t="str">
        <f>"GBP"</f>
        <v>GBP</v>
      </c>
      <c r="E2977" t="str">
        <f>"2015"</f>
        <v>2015</v>
      </c>
      <c r="F2977" t="str">
        <f>"Adhikari"</f>
        <v>Adhikari</v>
      </c>
      <c r="G2977" t="str">
        <f>"jahanadib"</f>
        <v>jahanadib</v>
      </c>
    </row>
    <row r="2978" spans="1:7" x14ac:dyDescent="0.25">
      <c r="A2978" t="str">
        <f>"Environment: Science, Issues, Solutions"</f>
        <v>Environment: Science, Issues, Solutions</v>
      </c>
      <c r="B2978" t="str">
        <f>"9780716761877"</f>
        <v>9780716761877</v>
      </c>
      <c r="C2978">
        <v>53.6</v>
      </c>
      <c r="D2978" t="str">
        <f>"EUR"</f>
        <v>EUR</v>
      </c>
      <c r="E2978" t="str">
        <f>"2016"</f>
        <v>2016</v>
      </c>
      <c r="F2978" t="str">
        <f>"Manuel MollesÂ Brenda"</f>
        <v>Manuel MollesÂ Brenda</v>
      </c>
      <c r="G2978" t="str">
        <f>"arzinbooks"</f>
        <v>arzinbooks</v>
      </c>
    </row>
    <row r="2979" spans="1:7" x14ac:dyDescent="0.25">
      <c r="A2979" t="str">
        <f>"Environmental And Health Issues In Unconventional"</f>
        <v>Environmental And Health Issues In Unconventional</v>
      </c>
      <c r="B2979" t="str">
        <f>"9780128041116"</f>
        <v>9780128041116</v>
      </c>
      <c r="C2979">
        <v>108</v>
      </c>
      <c r="D2979" t="str">
        <f>"USD"</f>
        <v>USD</v>
      </c>
      <c r="E2979" t="str">
        <f>"2015"</f>
        <v>2015</v>
      </c>
      <c r="F2979" t="str">
        <f>"N/A*"</f>
        <v>N/A*</v>
      </c>
      <c r="G2979" t="str">
        <f>"dehkadehketab"</f>
        <v>dehkadehketab</v>
      </c>
    </row>
    <row r="2980" spans="1:7" x14ac:dyDescent="0.25">
      <c r="A2980" t="str">
        <f>"Environmental Appraisal, Set of 5 vols, HB"</f>
        <v>Environmental Appraisal, Set of 5 vols, HB</v>
      </c>
      <c r="B2980" t="str">
        <f>"9788131300077"</f>
        <v>9788131300077</v>
      </c>
      <c r="C2980">
        <v>119.98</v>
      </c>
      <c r="D2980" t="str">
        <f>"USD"</f>
        <v>USD</v>
      </c>
      <c r="E2980" t="str">
        <f>"2006"</f>
        <v>2006</v>
      </c>
      <c r="F2980" t="str">
        <f>"Markandey"</f>
        <v>Markandey</v>
      </c>
      <c r="G2980" t="str">
        <f>"supply"</f>
        <v>supply</v>
      </c>
    </row>
    <row r="2981" spans="1:7" x14ac:dyDescent="0.25">
      <c r="A2981" t="str">
        <f>"ENVIRONMENTAL ASPECTS OF ZOONOTIC DISEASES"</f>
        <v>ENVIRONMENTAL ASPECTS OF ZOONOTIC DISEASES</v>
      </c>
      <c r="B2981" t="str">
        <f>"9781843390855"</f>
        <v>9781843390855</v>
      </c>
      <c r="C2981">
        <v>84</v>
      </c>
      <c r="D2981" t="str">
        <f>"GBP"</f>
        <v>GBP</v>
      </c>
      <c r="E2981" t="str">
        <f>"2012"</f>
        <v>2012</v>
      </c>
      <c r="F2981" t="str">
        <f>"ROBERT ARMON AND UT"</f>
        <v>ROBERT ARMON AND UT</v>
      </c>
      <c r="G2981" t="str">
        <f>"AsarBartar"</f>
        <v>AsarBartar</v>
      </c>
    </row>
    <row r="2982" spans="1:7" x14ac:dyDescent="0.25">
      <c r="A2982" t="str">
        <f>"ENVIRONMENTAL BIODIVERSITY, HB"</f>
        <v>ENVIRONMENTAL BIODIVERSITY, HB</v>
      </c>
      <c r="B2982" t="str">
        <f>"9789381052105"</f>
        <v>9789381052105</v>
      </c>
      <c r="C2982">
        <v>21.42</v>
      </c>
      <c r="D2982" t="str">
        <f>"USD"</f>
        <v>USD</v>
      </c>
      <c r="E2982" t="str">
        <f>"2012"</f>
        <v>2012</v>
      </c>
      <c r="F2982" t="str">
        <f>"Patnaik"</f>
        <v>Patnaik</v>
      </c>
      <c r="G2982" t="str">
        <f>"supply"</f>
        <v>supply</v>
      </c>
    </row>
    <row r="2983" spans="1:7" x14ac:dyDescent="0.25">
      <c r="A2983" t="str">
        <f>"ENVIRONMENTAL BIOTECHNOLOGY, HB"</f>
        <v>ENVIRONMENTAL BIOTECHNOLOGY, HB</v>
      </c>
      <c r="B2983" t="str">
        <f>"9788189741877"</f>
        <v>9788189741877</v>
      </c>
      <c r="C2983">
        <v>54.67</v>
      </c>
      <c r="D2983" t="str">
        <f>"USD"</f>
        <v>USD</v>
      </c>
      <c r="E2983" t="str">
        <f>"2009"</f>
        <v>2009</v>
      </c>
      <c r="F2983" t="str">
        <f>"Marandi"</f>
        <v>Marandi</v>
      </c>
      <c r="G2983" t="str">
        <f>"supply"</f>
        <v>supply</v>
      </c>
    </row>
    <row r="2984" spans="1:7" x14ac:dyDescent="0.25">
      <c r="A2984" t="str">
        <f>"Environmental Chemistry and Toxicology of Mercury"</f>
        <v>Environmental Chemistry and Toxicology of Mercury</v>
      </c>
      <c r="B2984" t="str">
        <f>"9780470578728"</f>
        <v>9780470578728</v>
      </c>
      <c r="C2984">
        <v>93.6</v>
      </c>
      <c r="D2984" t="str">
        <f>"USD"</f>
        <v>USD</v>
      </c>
      <c r="E2984" t="str">
        <f>"2012"</f>
        <v>2012</v>
      </c>
      <c r="F2984" t="str">
        <f>"Liu"</f>
        <v>Liu</v>
      </c>
      <c r="G2984" t="str">
        <f>"avanddanesh"</f>
        <v>avanddanesh</v>
      </c>
    </row>
    <row r="2985" spans="1:7" x14ac:dyDescent="0.25">
      <c r="A2985" t="str">
        <f>"ENVIRONMENTAL CHEMISTRY, HB"</f>
        <v>ENVIRONMENTAL CHEMISTRY, HB</v>
      </c>
      <c r="B2985" t="str">
        <f>"9788189741884"</f>
        <v>9788189741884</v>
      </c>
      <c r="C2985">
        <v>46.55</v>
      </c>
      <c r="D2985" t="str">
        <f>"USD"</f>
        <v>USD</v>
      </c>
      <c r="E2985" t="str">
        <f>"2009"</f>
        <v>2009</v>
      </c>
      <c r="F2985" t="str">
        <f>"Marandi"</f>
        <v>Marandi</v>
      </c>
      <c r="G2985" t="str">
        <f>"supply"</f>
        <v>supply</v>
      </c>
    </row>
    <row r="2986" spans="1:7" x14ac:dyDescent="0.25">
      <c r="A2986" t="str">
        <f>"Environmental Chemistry: An Analytical Approach"</f>
        <v>Environmental Chemistry: An Analytical Approach</v>
      </c>
      <c r="B2986" t="str">
        <f>"9781118756973"</f>
        <v>9781118756973</v>
      </c>
      <c r="C2986">
        <v>72</v>
      </c>
      <c r="D2986" t="str">
        <f>"USD"</f>
        <v>USD</v>
      </c>
      <c r="E2986" t="str">
        <f>"2017"</f>
        <v>2017</v>
      </c>
      <c r="F2986" t="str">
        <f>"Overway"</f>
        <v>Overway</v>
      </c>
      <c r="G2986" t="str">
        <f>"avanddanesh"</f>
        <v>avanddanesh</v>
      </c>
    </row>
    <row r="2987" spans="1:7" x14ac:dyDescent="0.25">
      <c r="A2987" t="str">
        <f>"Environmental Chemistry: Pollution and Remedial Perspective"</f>
        <v>Environmental Chemistry: Pollution and Remedial Perspective</v>
      </c>
      <c r="B2987" t="str">
        <f>"9781783323449"</f>
        <v>9781783323449</v>
      </c>
      <c r="C2987">
        <v>38.47</v>
      </c>
      <c r="D2987" t="str">
        <f>"GBP"</f>
        <v>GBP</v>
      </c>
      <c r="E2987" t="str">
        <f>"2017"</f>
        <v>2017</v>
      </c>
      <c r="F2987" t="str">
        <f>"Salker"</f>
        <v>Salker</v>
      </c>
      <c r="G2987" t="str">
        <f>"jahanadib"</f>
        <v>jahanadib</v>
      </c>
    </row>
    <row r="2988" spans="1:7" x14ac:dyDescent="0.25">
      <c r="A2988" t="str">
        <f>"Environmental Chemistry: Pollution and Remedial Perspective"</f>
        <v>Environmental Chemistry: Pollution and Remedial Perspective</v>
      </c>
      <c r="B2988" t="str">
        <f>"9781783323449"</f>
        <v>9781783323449</v>
      </c>
      <c r="C2988">
        <v>38.46</v>
      </c>
      <c r="D2988" t="str">
        <f>"GBP"</f>
        <v>GBP</v>
      </c>
      <c r="E2988" t="str">
        <f>"2017"</f>
        <v>2017</v>
      </c>
      <c r="F2988" t="str">
        <f>"Salker"</f>
        <v>Salker</v>
      </c>
      <c r="G2988" t="str">
        <f>"safirketab"</f>
        <v>safirketab</v>
      </c>
    </row>
    <row r="2989" spans="1:7" x14ac:dyDescent="0.25">
      <c r="A2989" t="str">
        <f>"Environmental Communication and the Public Sphere"</f>
        <v>Environmental Communication and the Public Sphere</v>
      </c>
      <c r="B2989" t="str">
        <f>"9781506363479"</f>
        <v>9781506363479</v>
      </c>
      <c r="C2989">
        <v>63</v>
      </c>
      <c r="D2989" t="str">
        <f>"GBP"</f>
        <v>GBP</v>
      </c>
      <c r="E2989" t="str">
        <f>"2018"</f>
        <v>2018</v>
      </c>
      <c r="F2989" t="str">
        <f>"Carmen Pezzullo Phae"</f>
        <v>Carmen Pezzullo Phae</v>
      </c>
      <c r="G2989" t="str">
        <f>"dehkadehketab"</f>
        <v>dehkadehketab</v>
      </c>
    </row>
    <row r="2990" spans="1:7" x14ac:dyDescent="0.25">
      <c r="A2990" t="str">
        <f>"ENVIRONMENTAL CONCERNS, HB"</f>
        <v>ENVIRONMENTAL CONCERNS, HB</v>
      </c>
      <c r="B2990" t="str">
        <f>"9788177544282"</f>
        <v>9788177544282</v>
      </c>
      <c r="C2990">
        <v>48.58</v>
      </c>
      <c r="D2990" t="str">
        <f>"USD"</f>
        <v>USD</v>
      </c>
      <c r="E2990" t="str">
        <f>"2011"</f>
        <v>2011</v>
      </c>
      <c r="F2990" t="str">
        <f>"Gupta"</f>
        <v>Gupta</v>
      </c>
      <c r="G2990" t="str">
        <f>"supply"</f>
        <v>supply</v>
      </c>
    </row>
    <row r="2991" spans="1:7" x14ac:dyDescent="0.25">
      <c r="A2991" t="str">
        <f>"Environmental Contaminants: Measurement. Modelling and Control"</f>
        <v>Environmental Contaminants: Measurement. Modelling and Control</v>
      </c>
      <c r="B2991" t="str">
        <f>"9789811073311"</f>
        <v>9789811073311</v>
      </c>
      <c r="C2991">
        <v>134.99</v>
      </c>
      <c r="D2991" t="str">
        <f>"EUR"</f>
        <v>EUR</v>
      </c>
      <c r="E2991" t="str">
        <f>"2018"</f>
        <v>2018</v>
      </c>
      <c r="F2991" t="str">
        <f>"Gupta"</f>
        <v>Gupta</v>
      </c>
      <c r="G2991" t="str">
        <f>"negarestanabi"</f>
        <v>negarestanabi</v>
      </c>
    </row>
    <row r="2992" spans="1:7" x14ac:dyDescent="0.25">
      <c r="A2992" t="str">
        <f>"Environmental Economics (Routledge Textbooks in Environmental and Agricultural Economics)"</f>
        <v>Environmental Economics (Routledge Textbooks in Environmental and Agricultural Economics)</v>
      </c>
      <c r="B2992" t="str">
        <f>"9781138960695"</f>
        <v>9781138960695</v>
      </c>
      <c r="C2992">
        <v>29.69</v>
      </c>
      <c r="D2992" t="str">
        <f>"GBP"</f>
        <v>GBP</v>
      </c>
      <c r="E2992" t="str">
        <f>"2016"</f>
        <v>2016</v>
      </c>
      <c r="F2992" t="str">
        <f>"MANAGI"</f>
        <v>MANAGI</v>
      </c>
      <c r="G2992" t="str">
        <f>"sal"</f>
        <v>sal</v>
      </c>
    </row>
    <row r="2993" spans="1:7" x14ac:dyDescent="0.25">
      <c r="A2993" t="str">
        <f>"ENVIRONMENTAL ECONOMICS AND INVESTMENT ASSESSMENT II, HB"</f>
        <v>ENVIRONMENTAL ECONOMICS AND INVESTMENT ASSESSMENT II, HB</v>
      </c>
      <c r="B2993" t="str">
        <f>"9781845641122"</f>
        <v>9781845641122</v>
      </c>
      <c r="C2993">
        <v>88.9</v>
      </c>
      <c r="D2993" t="str">
        <f>"GBP"</f>
        <v>GBP</v>
      </c>
      <c r="E2993" t="str">
        <f>"2008"</f>
        <v>2008</v>
      </c>
      <c r="F2993" t="str">
        <f>"Aravossis"</f>
        <v>Aravossis</v>
      </c>
      <c r="G2993" t="str">
        <f>"supply"</f>
        <v>supply</v>
      </c>
    </row>
    <row r="2994" spans="1:7" x14ac:dyDescent="0.25">
      <c r="A2994" t="str">
        <f>"Environmental Economics and Sustainability"</f>
        <v>Environmental Economics and Sustainability</v>
      </c>
      <c r="B2994" t="str">
        <f>"9781119328209"</f>
        <v>9781119328209</v>
      </c>
      <c r="C2994">
        <v>24.8</v>
      </c>
      <c r="D2994" t="str">
        <f>"USD"</f>
        <v>USD</v>
      </c>
      <c r="E2994" t="str">
        <f>"2017"</f>
        <v>2017</v>
      </c>
      <c r="F2994" t="str">
        <f>"Chi-ang Lin"</f>
        <v>Chi-ang Lin</v>
      </c>
      <c r="G2994" t="str">
        <f>"avanddanesh"</f>
        <v>avanddanesh</v>
      </c>
    </row>
    <row r="2995" spans="1:7" x14ac:dyDescent="0.25">
      <c r="A2995" t="str">
        <f>"ENVIRONMENTAL EFFICIENCY, INNOVATION AND ECONOMIC PERFO"</f>
        <v>ENVIRONMENTAL EFFICIENCY, INNOVATION AND ECONOMIC PERFO</v>
      </c>
      <c r="B2995" t="str">
        <f>"9780415478526"</f>
        <v>9780415478526</v>
      </c>
      <c r="C2995">
        <v>27</v>
      </c>
      <c r="D2995" t="str">
        <f>"GBP"</f>
        <v>GBP</v>
      </c>
      <c r="E2995" t="str">
        <f>"2010"</f>
        <v>2010</v>
      </c>
      <c r="F2995" t="str">
        <f>"MONTINI, ANNA |  MA"</f>
        <v>MONTINI, ANNA |  MA</v>
      </c>
      <c r="G2995" t="str">
        <f>"AsarBartar"</f>
        <v>AsarBartar</v>
      </c>
    </row>
    <row r="2996" spans="1:7" x14ac:dyDescent="0.25">
      <c r="A2996" t="str">
        <f>"Environmental Engineering and Activated Sludge Processes: Models, Methodologies, and Applications"</f>
        <v>Environmental Engineering and Activated Sludge Processes: Models, Methodologies, and Applications</v>
      </c>
      <c r="B2996" t="str">
        <f>"9781771883887"</f>
        <v>9781771883887</v>
      </c>
      <c r="C2996">
        <v>80.75</v>
      </c>
      <c r="D2996" t="str">
        <f>"GBP"</f>
        <v>GBP</v>
      </c>
      <c r="E2996" t="str">
        <f>"2016"</f>
        <v>2016</v>
      </c>
      <c r="F2996" t="str">
        <f>"Olga Sanchez(Editor"</f>
        <v>Olga Sanchez(Editor</v>
      </c>
      <c r="G2996" t="str">
        <f>"AsarBartar"</f>
        <v>AsarBartar</v>
      </c>
    </row>
    <row r="2997" spans="1:7" x14ac:dyDescent="0.25">
      <c r="A2997" t="str">
        <f>"ENVIRONMENTAL ENGINEERING III"</f>
        <v>ENVIRONMENTAL ENGINEERING III</v>
      </c>
      <c r="B2997" t="str">
        <f>"9780415548823"</f>
        <v>9780415548823</v>
      </c>
      <c r="C2997">
        <v>44.7</v>
      </c>
      <c r="D2997" t="str">
        <f>"GBP"</f>
        <v>GBP</v>
      </c>
      <c r="E2997" t="str">
        <f>"2010"</f>
        <v>2010</v>
      </c>
      <c r="F2997" t="str">
        <f>"ARTUR PAWLOWSKI(EDI"</f>
        <v>ARTUR PAWLOWSKI(EDI</v>
      </c>
      <c r="G2997" t="str">
        <f>"AsarBartar"</f>
        <v>AsarBartar</v>
      </c>
    </row>
    <row r="2998" spans="1:7" x14ac:dyDescent="0.25">
      <c r="A2998" t="str">
        <f>"Environmental Experience and Plasticity of the Developing Brain"</f>
        <v>Environmental Experience and Plasticity of the Developing Brain</v>
      </c>
      <c r="B2998" t="str">
        <f>"9781118931653"</f>
        <v>9781118931653</v>
      </c>
      <c r="C2998">
        <v>110.5</v>
      </c>
      <c r="D2998" t="str">
        <f>"USD"</f>
        <v>USD</v>
      </c>
      <c r="E2998" t="str">
        <f>"2016"</f>
        <v>2016</v>
      </c>
      <c r="F2998" t="str">
        <f>"Sale"</f>
        <v>Sale</v>
      </c>
      <c r="G2998" t="str">
        <f>"avanddanesh"</f>
        <v>avanddanesh</v>
      </c>
    </row>
    <row r="2999" spans="1:7" x14ac:dyDescent="0.25">
      <c r="A2999" t="str">
        <f>"Environmental Footprints of Packaging"</f>
        <v>Environmental Footprints of Packaging</v>
      </c>
      <c r="B2999" t="str">
        <f>"9789812879110"</f>
        <v>9789812879110</v>
      </c>
      <c r="C2999">
        <v>98.99</v>
      </c>
      <c r="D2999" t="str">
        <f>"EUR"</f>
        <v>EUR</v>
      </c>
      <c r="E2999" t="str">
        <f>"2016"</f>
        <v>2016</v>
      </c>
      <c r="F2999" t="str">
        <f>"Muthu"</f>
        <v>Muthu</v>
      </c>
      <c r="G2999" t="str">
        <f>"negarestanabi"</f>
        <v>negarestanabi</v>
      </c>
    </row>
    <row r="3000" spans="1:7" x14ac:dyDescent="0.25">
      <c r="A3000" t="str">
        <f>"Environmental Forensics: Proceedings of the 2013 INEF Conference"</f>
        <v>Environmental Forensics: Proceedings of the 2013 INEF Conference</v>
      </c>
      <c r="B3000" t="str">
        <f>"9781849739443"</f>
        <v>9781849739443</v>
      </c>
      <c r="C3000">
        <v>68.8</v>
      </c>
      <c r="D3000" t="str">
        <f>"GBP"</f>
        <v>GBP</v>
      </c>
      <c r="E3000" t="str">
        <f>"2014"</f>
        <v>2014</v>
      </c>
      <c r="F3000" t="str">
        <f>"Robert D Morrison(Ed"</f>
        <v>Robert D Morrison(Ed</v>
      </c>
      <c r="G3000" t="str">
        <f>"arzinbooks"</f>
        <v>arzinbooks</v>
      </c>
    </row>
    <row r="3001" spans="1:7" x14ac:dyDescent="0.25">
      <c r="A3001" t="str">
        <f>"ENVIRONMENTAL GEOGRAPHY, HB"</f>
        <v>ENVIRONMENTAL GEOGRAPHY, HB</v>
      </c>
      <c r="B3001" t="str">
        <f>"9781926686684"</f>
        <v>9781926686684</v>
      </c>
      <c r="C3001">
        <v>91</v>
      </c>
      <c r="D3001" t="str">
        <f>"USD"</f>
        <v>USD</v>
      </c>
      <c r="E3001" t="str">
        <f>"2010"</f>
        <v>2010</v>
      </c>
      <c r="F3001" t="str">
        <f>"Garcia"</f>
        <v>Garcia</v>
      </c>
      <c r="G3001" t="str">
        <f>"supply"</f>
        <v>supply</v>
      </c>
    </row>
    <row r="3002" spans="1:7" x14ac:dyDescent="0.25">
      <c r="A3002" t="str">
        <f>"Environmental Governance: Institutions, Policies and Actions"</f>
        <v>Environmental Governance: Institutions, Policies and Actions</v>
      </c>
      <c r="B3002" t="str">
        <f>"9781781007242"</f>
        <v>9781781007242</v>
      </c>
      <c r="C3002">
        <v>93.5</v>
      </c>
      <c r="D3002" t="str">
        <f>"GBP"</f>
        <v>GBP</v>
      </c>
      <c r="E3002" t="str">
        <f>"2016"</f>
        <v>2016</v>
      </c>
      <c r="F3002" t="str">
        <f>"Arild Vatn"</f>
        <v>Arild Vatn</v>
      </c>
      <c r="G3002" t="str">
        <f>"AsarBartar"</f>
        <v>AsarBartar</v>
      </c>
    </row>
    <row r="3003" spans="1:7" x14ac:dyDescent="0.25">
      <c r="A3003" t="str">
        <f>"ENVIRONMENTAL HEALTH AND SCIENCE DESK REFERENCE"</f>
        <v>ENVIRONMENTAL HEALTH AND SCIENCE DESK REFERENCE</v>
      </c>
      <c r="B3003" t="str">
        <f>"9781605907574"</f>
        <v>9781605907574</v>
      </c>
      <c r="C3003">
        <v>34.799999999999997</v>
      </c>
      <c r="D3003" t="str">
        <f>"GBP"</f>
        <v>GBP</v>
      </c>
      <c r="E3003" t="str">
        <f>"2012"</f>
        <v>2012</v>
      </c>
      <c r="F3003" t="str">
        <f>"REVONNA M. BIEBER"</f>
        <v>REVONNA M. BIEBER</v>
      </c>
      <c r="G3003" t="str">
        <f>"AsarBartar"</f>
        <v>AsarBartar</v>
      </c>
    </row>
    <row r="3004" spans="1:7" x14ac:dyDescent="0.25">
      <c r="A3004" t="str">
        <f>"ENVIRONMENTAL HEALTH RISK V, HB"</f>
        <v>ENVIRONMENTAL HEALTH RISK V, HB</v>
      </c>
      <c r="B3004" t="str">
        <f>"9781845642013"</f>
        <v>9781845642013</v>
      </c>
      <c r="C3004">
        <v>132.30000000000001</v>
      </c>
      <c r="D3004" t="str">
        <f>"GBP"</f>
        <v>GBP</v>
      </c>
      <c r="E3004" t="str">
        <f>"2009"</f>
        <v>2009</v>
      </c>
      <c r="F3004" t="str">
        <f>"Brebbia"</f>
        <v>Brebbia</v>
      </c>
      <c r="G3004" t="str">
        <f>"supply"</f>
        <v>supply</v>
      </c>
    </row>
    <row r="3005" spans="1:7" x14ac:dyDescent="0.25">
      <c r="A3005" t="str">
        <f>"Environmental Impact Assessment, Theory and Practice"</f>
        <v>Environmental Impact Assessment, Theory and Practice</v>
      </c>
      <c r="B3005" t="str">
        <f>"9780128111390"</f>
        <v>9780128111390</v>
      </c>
      <c r="C3005">
        <v>135</v>
      </c>
      <c r="D3005" t="str">
        <f>"USD"</f>
        <v>USD</v>
      </c>
      <c r="E3005" t="str">
        <f>"2017"</f>
        <v>2017</v>
      </c>
      <c r="F3005" t="str">
        <f>"Mareddy"</f>
        <v>Mareddy</v>
      </c>
      <c r="G3005" t="str">
        <f>"arang"</f>
        <v>arang</v>
      </c>
    </row>
    <row r="3006" spans="1:7" x14ac:dyDescent="0.25">
      <c r="A3006" t="str">
        <f>"Environmental Impacts of Road Vehicles : Past, Present and Future"</f>
        <v>Environmental Impacts of Road Vehicles : Past, Present and Future</v>
      </c>
      <c r="B3006" t="str">
        <f>"9781782628927"</f>
        <v>9781782628927</v>
      </c>
      <c r="C3006">
        <v>59.5</v>
      </c>
      <c r="D3006" t="str">
        <f>"GBP"</f>
        <v>GBP</v>
      </c>
      <c r="E3006" t="str">
        <f>"2017"</f>
        <v>2017</v>
      </c>
      <c r="F3006" t="str">
        <f>"R M Harrison,R E Hes"</f>
        <v>R M Harrison,R E Hes</v>
      </c>
      <c r="G3006" t="str">
        <f>"arzinbooks"</f>
        <v>arzinbooks</v>
      </c>
    </row>
    <row r="3007" spans="1:7" x14ac:dyDescent="0.25">
      <c r="A3007" t="str">
        <f>"Environmental Impacts on Underground Power Distribution"</f>
        <v>Environmental Impacts on Underground Power Distribution</v>
      </c>
      <c r="B3007" t="str">
        <f>"9781466665095"</f>
        <v>9781466665095</v>
      </c>
      <c r="C3007">
        <v>146.30000000000001</v>
      </c>
      <c r="D3007" t="str">
        <f>"USD"</f>
        <v>USD</v>
      </c>
      <c r="E3007" t="str">
        <f>"2016"</f>
        <v>2016</v>
      </c>
      <c r="F3007" t="str">
        <f>"Osama El-Sayed Gouda"</f>
        <v>Osama El-Sayed Gouda</v>
      </c>
      <c r="G3007" t="str">
        <f>"arzinbooks"</f>
        <v>arzinbooks</v>
      </c>
    </row>
    <row r="3008" spans="1:7" x14ac:dyDescent="0.25">
      <c r="A3008" t="str">
        <f>"Environmental Inorganic Chemistry for Engineers"</f>
        <v>Environmental Inorganic Chemistry for Engineers</v>
      </c>
      <c r="B3008" t="str">
        <f>"9780128498910"</f>
        <v>9780128498910</v>
      </c>
      <c r="C3008">
        <v>108</v>
      </c>
      <c r="D3008" t="str">
        <f>"USD"</f>
        <v>USD</v>
      </c>
      <c r="E3008" t="str">
        <f>"2017"</f>
        <v>2017</v>
      </c>
      <c r="F3008" t="str">
        <f>"Speight"</f>
        <v>Speight</v>
      </c>
      <c r="G3008" t="str">
        <f>"arang"</f>
        <v>arang</v>
      </c>
    </row>
    <row r="3009" spans="1:7" x14ac:dyDescent="0.25">
      <c r="A3009" t="str">
        <f>"Environmental Issues Concerning Hydraulic Fracturing, Volume1"</f>
        <v>Environmental Issues Concerning Hydraulic Fracturing, Volume1</v>
      </c>
      <c r="B3009" t="str">
        <f>"9780128128022"</f>
        <v>9780128128022</v>
      </c>
      <c r="C3009">
        <v>197.1</v>
      </c>
      <c r="D3009" t="str">
        <f>"USD"</f>
        <v>USD</v>
      </c>
      <c r="E3009" t="str">
        <f>"2017"</f>
        <v>2017</v>
      </c>
      <c r="F3009" t="str">
        <f>"Schug and Hilenbrand"</f>
        <v>Schug and Hilenbrand</v>
      </c>
      <c r="G3009" t="str">
        <f>"arang"</f>
        <v>arang</v>
      </c>
    </row>
    <row r="3010" spans="1:7" x14ac:dyDescent="0.25">
      <c r="A3010" t="str">
        <f>"Environmental Issues Surrounding Human Overpopulation"</f>
        <v>Environmental Issues Surrounding Human Overpopulation</v>
      </c>
      <c r="B3010" t="str">
        <f>"9781522516835"</f>
        <v>9781522516835</v>
      </c>
      <c r="C3010">
        <v>150</v>
      </c>
      <c r="D3010" t="str">
        <f>"USD"</f>
        <v>USD</v>
      </c>
      <c r="E3010" t="str">
        <f>"2017"</f>
        <v>2017</v>
      </c>
      <c r="F3010" t="str">
        <f>"Rajeev Pratap Singh"</f>
        <v>Rajeev Pratap Singh</v>
      </c>
      <c r="G3010" t="str">
        <f>"arzinbooks"</f>
        <v>arzinbooks</v>
      </c>
    </row>
    <row r="3011" spans="1:7" x14ac:dyDescent="0.25">
      <c r="A3011" t="str">
        <f>"Environmental Law and Contrasting Ideas of Nature"</f>
        <v>Environmental Law and Contrasting Ideas of Nature</v>
      </c>
      <c r="B3011" t="str">
        <f>"9781316507575"</f>
        <v>9781316507575</v>
      </c>
      <c r="C3011">
        <v>19.5</v>
      </c>
      <c r="D3011" t="str">
        <f>"GBP"</f>
        <v>GBP</v>
      </c>
      <c r="E3011" t="str">
        <f>"2016"</f>
        <v>2016</v>
      </c>
      <c r="F3011" t="str">
        <f>"Keith H. Hirokawa"</f>
        <v>Keith H. Hirokawa</v>
      </c>
      <c r="G3011" t="str">
        <f>"arzinbooks"</f>
        <v>arzinbooks</v>
      </c>
    </row>
    <row r="3012" spans="1:7" x14ac:dyDescent="0.25">
      <c r="A3012" t="str">
        <f>"Environmental Law and Governance for the Anthropocene"</f>
        <v>Environmental Law and Governance for the Anthropocene</v>
      </c>
      <c r="B3012" t="str">
        <f>"9781509906567"</f>
        <v>9781509906567</v>
      </c>
      <c r="C3012">
        <v>63.8</v>
      </c>
      <c r="D3012" t="str">
        <f>"GBP"</f>
        <v>GBP</v>
      </c>
      <c r="E3012" t="str">
        <f>"2017"</f>
        <v>2017</v>
      </c>
      <c r="F3012" t="str">
        <f>"Louis J Kotze andÂ Lo"</f>
        <v>Louis J Kotze andÂ Lo</v>
      </c>
      <c r="G3012" t="str">
        <f>"arzinbooks"</f>
        <v>arzinbooks</v>
      </c>
    </row>
    <row r="3013" spans="1:7" x14ac:dyDescent="0.25">
      <c r="A3013" t="str">
        <f>"ENVIRONMENTAL LAW AND SUSTAINABLE DEVELOPMENT, HB"</f>
        <v>ENVIRONMENTAL LAW AND SUSTAINABLE DEVELOPMENT, HB</v>
      </c>
      <c r="B3013" t="str">
        <f>"9788184840520"</f>
        <v>9788184840520</v>
      </c>
      <c r="C3013">
        <v>38.08</v>
      </c>
      <c r="D3013" t="str">
        <f>"USD"</f>
        <v>USD</v>
      </c>
      <c r="E3013" t="str">
        <f>"2010"</f>
        <v>2010</v>
      </c>
      <c r="F3013" t="str">
        <f>"Priya"</f>
        <v>Priya</v>
      </c>
      <c r="G3013" t="str">
        <f>"supply"</f>
        <v>supply</v>
      </c>
    </row>
    <row r="3014" spans="1:7" x14ac:dyDescent="0.25">
      <c r="A3014" t="str">
        <f>"ENVIRONMENTAL MANAGEMENT SYSTEM ISO 14001: 2004 : HANDB"</f>
        <v>ENVIRONMENTAL MANAGEMENT SYSTEM ISO 14001: 2004 : HANDB</v>
      </c>
      <c r="B3014" t="str">
        <f>"9781439829394"</f>
        <v>9781439829394</v>
      </c>
      <c r="C3014">
        <v>49.5</v>
      </c>
      <c r="D3014" t="str">
        <f>"GBP"</f>
        <v>GBP</v>
      </c>
      <c r="E3014" t="str">
        <f>"2011"</f>
        <v>2011</v>
      </c>
      <c r="F3014" t="str">
        <f>"HAIDER"</f>
        <v>HAIDER</v>
      </c>
      <c r="G3014" t="str">
        <f>"AsarBartar"</f>
        <v>AsarBartar</v>
      </c>
    </row>
    <row r="3015" spans="1:7" x14ac:dyDescent="0.25">
      <c r="A3015" t="str">
        <f>"Environmental Management, Science and Engineering for Industry"</f>
        <v>Environmental Management, Science and Engineering for Industry</v>
      </c>
      <c r="B3015" t="str">
        <f>"9780128119891"</f>
        <v>9780128119891</v>
      </c>
      <c r="C3015">
        <v>135</v>
      </c>
      <c r="D3015" t="str">
        <f>"USD"</f>
        <v>USD</v>
      </c>
      <c r="E3015" t="str">
        <f>"2017"</f>
        <v>2017</v>
      </c>
      <c r="F3015" t="str">
        <f>"Krishna and Manickam"</f>
        <v>Krishna and Manickam</v>
      </c>
      <c r="G3015" t="str">
        <f>"arang"</f>
        <v>arang</v>
      </c>
    </row>
    <row r="3016" spans="1:7" x14ac:dyDescent="0.25">
      <c r="A3016" t="str">
        <f>"Environmental Management, Science and Engineering for Industry"</f>
        <v>Environmental Management, Science and Engineering for Industry</v>
      </c>
      <c r="B3016" t="str">
        <f>"9780128119785"</f>
        <v>9780128119785</v>
      </c>
      <c r="C3016">
        <v>135</v>
      </c>
      <c r="D3016" t="str">
        <f>"USD"</f>
        <v>USD</v>
      </c>
      <c r="E3016" t="str">
        <f>"2017"</f>
        <v>2017</v>
      </c>
      <c r="F3016" t="str">
        <f>"Krishna and Manickam"</f>
        <v>Krishna and Manickam</v>
      </c>
      <c r="G3016" t="str">
        <f>"dehkadehketab"</f>
        <v>dehkadehketab</v>
      </c>
    </row>
    <row r="3017" spans="1:7" x14ac:dyDescent="0.25">
      <c r="A3017" t="str">
        <f>"Environmental Management: Text and Cases, 2/e"</f>
        <v>Environmental Management: Text and Cases, 2/e</v>
      </c>
      <c r="B3017" t="str">
        <f>"9788120333291"</f>
        <v>9788120333291</v>
      </c>
      <c r="C3017">
        <v>6.8</v>
      </c>
      <c r="D3017" t="str">
        <f>"USD"</f>
        <v>USD</v>
      </c>
      <c r="E3017" t="str">
        <f>"2016"</f>
        <v>2016</v>
      </c>
      <c r="F3017" t="str">
        <f>"Krishnamoorthy"</f>
        <v>Krishnamoorthy</v>
      </c>
      <c r="G3017" t="str">
        <f>"jahanadib"</f>
        <v>jahanadib</v>
      </c>
    </row>
    <row r="3018" spans="1:7" x14ac:dyDescent="0.25">
      <c r="A3018" t="str">
        <f>"Environmental Management: Text and Cases, 2/e"</f>
        <v>Environmental Management: Text and Cases, 2/e</v>
      </c>
      <c r="B3018" t="str">
        <f>"9788120333291"</f>
        <v>9788120333291</v>
      </c>
      <c r="C3018">
        <v>6.8</v>
      </c>
      <c r="D3018" t="str">
        <f>"USD"</f>
        <v>USD</v>
      </c>
      <c r="E3018" t="str">
        <f>"2016"</f>
        <v>2016</v>
      </c>
      <c r="F3018" t="str">
        <f>"Krishnamoorthy"</f>
        <v>Krishnamoorthy</v>
      </c>
      <c r="G3018" t="str">
        <f>"safirketab"</f>
        <v>safirketab</v>
      </c>
    </row>
    <row r="3019" spans="1:7" x14ac:dyDescent="0.25">
      <c r="A3019" t="str">
        <f>"Environmental Management: Text and Cases, 3rd ed.   "</f>
        <v xml:space="preserve">Environmental Management: Text and Cases, 3rd ed.   </v>
      </c>
      <c r="B3019" t="str">
        <f>"9788120353428"</f>
        <v>9788120353428</v>
      </c>
      <c r="C3019">
        <v>10.68</v>
      </c>
      <c r="D3019" t="str">
        <f>"USD"</f>
        <v>USD</v>
      </c>
      <c r="E3019" t="str">
        <f>"2018"</f>
        <v>2018</v>
      </c>
      <c r="F3019" t="str">
        <f>"Bala Krishnamoorthy"</f>
        <v>Bala Krishnamoorthy</v>
      </c>
      <c r="G3019" t="str">
        <f>"negarestanabi"</f>
        <v>negarestanabi</v>
      </c>
    </row>
    <row r="3020" spans="1:7" x14ac:dyDescent="0.25">
      <c r="A3020" t="str">
        <f>"Environmental Microbiology for Engineers, Second Edition"</f>
        <v>Environmental Microbiology for Engineers, Second Edition</v>
      </c>
      <c r="B3020" t="str">
        <f>"9781498702126"</f>
        <v>9781498702126</v>
      </c>
      <c r="C3020">
        <v>84.6</v>
      </c>
      <c r="D3020" t="str">
        <f>"GBP"</f>
        <v>GBP</v>
      </c>
      <c r="E3020" t="str">
        <f>"2016"</f>
        <v>2016</v>
      </c>
      <c r="F3020" t="str">
        <f>"IVANOV"</f>
        <v>IVANOV</v>
      </c>
      <c r="G3020" t="str">
        <f>"sal"</f>
        <v>sal</v>
      </c>
    </row>
    <row r="3021" spans="1:7" x14ac:dyDescent="0.25">
      <c r="A3021" t="str">
        <f>"ENVIRONMENTAL MICROBIOLOGY, HB"</f>
        <v>ENVIRONMENTAL MICROBIOLOGY, HB</v>
      </c>
      <c r="B3021" t="str">
        <f>"9781926686776"</f>
        <v>9781926686776</v>
      </c>
      <c r="C3021">
        <v>93.1</v>
      </c>
      <c r="D3021" t="str">
        <f>"USD"</f>
        <v>USD</v>
      </c>
      <c r="E3021" t="str">
        <f>"2010"</f>
        <v>2010</v>
      </c>
      <c r="F3021" t="str">
        <f>"Belic"</f>
        <v>Belic</v>
      </c>
      <c r="G3021" t="str">
        <f>"supply"</f>
        <v>supply</v>
      </c>
    </row>
    <row r="3022" spans="1:7" x14ac:dyDescent="0.25">
      <c r="A3022" t="str">
        <f>"Environmental Microbiology: From Genomes to Biogeochemistry,2e"</f>
        <v>Environmental Microbiology: From Genomes to Biogeochemistry,2e</v>
      </c>
      <c r="B3022" t="str">
        <f>"9781118439630"</f>
        <v>9781118439630</v>
      </c>
      <c r="C3022">
        <v>104</v>
      </c>
      <c r="D3022" t="str">
        <f>"USD"</f>
        <v>USD</v>
      </c>
      <c r="E3022" t="str">
        <f>"2015"</f>
        <v>2015</v>
      </c>
      <c r="F3022" t="str">
        <f>"Madsen"</f>
        <v>Madsen</v>
      </c>
      <c r="G3022" t="str">
        <f>"avanddanesh"</f>
        <v>avanddanesh</v>
      </c>
    </row>
    <row r="3023" spans="1:7" x14ac:dyDescent="0.25">
      <c r="A3023" t="str">
        <f>"Environmental Organic Chemistry,3e"</f>
        <v>Environmental Organic Chemistry,3e</v>
      </c>
      <c r="B3023" t="str">
        <f>"9781118767238"</f>
        <v>9781118767238</v>
      </c>
      <c r="C3023">
        <v>127.5</v>
      </c>
      <c r="D3023" t="str">
        <f>"USD"</f>
        <v>USD</v>
      </c>
      <c r="E3023" t="str">
        <f>"2016"</f>
        <v>2016</v>
      </c>
      <c r="F3023" t="str">
        <f>"Schwarzenbach"</f>
        <v>Schwarzenbach</v>
      </c>
      <c r="G3023" t="str">
        <f>"avanddanesh"</f>
        <v>avanddanesh</v>
      </c>
    </row>
    <row r="3024" spans="1:7" x14ac:dyDescent="0.25">
      <c r="A3024" t="str">
        <f>"Environmental Philosophy: An Introduction"</f>
        <v>Environmental Philosophy: An Introduction</v>
      </c>
      <c r="B3024" t="str">
        <f>"9780745645476"</f>
        <v>9780745645476</v>
      </c>
      <c r="C3024">
        <v>20</v>
      </c>
      <c r="D3024" t="str">
        <f>"USD"</f>
        <v>USD</v>
      </c>
      <c r="E3024" t="str">
        <f>"2015"</f>
        <v>2015</v>
      </c>
      <c r="F3024" t="str">
        <f>"James"</f>
        <v>James</v>
      </c>
      <c r="G3024" t="str">
        <f>"avanddanesh"</f>
        <v>avanddanesh</v>
      </c>
    </row>
    <row r="3025" spans="1:7" x14ac:dyDescent="0.25">
      <c r="A3025" t="str">
        <f>"Environmental Photochemistry Part II"</f>
        <v>Environmental Photochemistry Part II</v>
      </c>
      <c r="B3025" t="str">
        <f>"9783540002697"</f>
        <v>9783540002697</v>
      </c>
      <c r="C3025">
        <v>199.42</v>
      </c>
      <c r="D3025" t="str">
        <f>"USD"</f>
        <v>USD</v>
      </c>
      <c r="E3025" t="str">
        <f>"2005"</f>
        <v>2005</v>
      </c>
      <c r="F3025" t="str">
        <f>"Hutzinger,O.(Ed)"</f>
        <v>Hutzinger,O.(Ed)</v>
      </c>
      <c r="G3025" t="str">
        <f>"safirketab"</f>
        <v>safirketab</v>
      </c>
    </row>
    <row r="3026" spans="1:7" x14ac:dyDescent="0.25">
      <c r="A3026" t="str">
        <f>"ENVIRONMENTAL POLICY"</f>
        <v>ENVIRONMENTAL POLICY</v>
      </c>
      <c r="B3026" t="str">
        <f>"9780415497855"</f>
        <v>9780415497855</v>
      </c>
      <c r="C3026">
        <v>6.89</v>
      </c>
      <c r="D3026" t="str">
        <f>"GBP"</f>
        <v>GBP</v>
      </c>
      <c r="E3026" t="str">
        <f>"2011"</f>
        <v>2011</v>
      </c>
      <c r="F3026" t="str">
        <f>"ROBERTS, JANE"</f>
        <v>ROBERTS, JANE</v>
      </c>
      <c r="G3026" t="str">
        <f>"AsarBartar"</f>
        <v>AsarBartar</v>
      </c>
    </row>
    <row r="3027" spans="1:7" x14ac:dyDescent="0.25">
      <c r="A3027" t="str">
        <f>"Environmental Politics and Policy"</f>
        <v>Environmental Politics and Policy</v>
      </c>
      <c r="B3027" t="str">
        <f>"9781506345376"</f>
        <v>9781506345376</v>
      </c>
      <c r="C3027">
        <v>43.5</v>
      </c>
      <c r="D3027" t="str">
        <f>"GBP"</f>
        <v>GBP</v>
      </c>
      <c r="E3027" t="str">
        <f>"2016"</f>
        <v>2016</v>
      </c>
      <c r="F3027" t="str">
        <f>"Walter A Rosenb"</f>
        <v>Walter A Rosenb</v>
      </c>
      <c r="G3027" t="str">
        <f>"kowkab"</f>
        <v>kowkab</v>
      </c>
    </row>
    <row r="3028" spans="1:7" x14ac:dyDescent="0.25">
      <c r="A3028" t="str">
        <f>"ENVIRONMENTAL POLLUTION AND PROTECTION : An Introduction, HB"</f>
        <v>ENVIRONMENTAL POLLUTION AND PROTECTION : An Introduction, HB</v>
      </c>
      <c r="B3028" t="str">
        <f>"9788131427149"</f>
        <v>9788131427149</v>
      </c>
      <c r="C3028">
        <v>25.06</v>
      </c>
      <c r="D3028" t="str">
        <f>"USD"</f>
        <v>USD</v>
      </c>
      <c r="E3028" t="str">
        <f>"2012"</f>
        <v>2012</v>
      </c>
      <c r="F3028" t="str">
        <f>"Alagiri"</f>
        <v>Alagiri</v>
      </c>
      <c r="G3028" t="str">
        <f>"supply"</f>
        <v>supply</v>
      </c>
    </row>
    <row r="3029" spans="1:7" x14ac:dyDescent="0.25">
      <c r="A3029" t="str">
        <f>"Environmental Pricing: Studies in Policy Choices and Interactions"</f>
        <v>Environmental Pricing: Studies in Policy Choices and Interactions</v>
      </c>
      <c r="B3029" t="str">
        <f>"9781785360244"</f>
        <v>9781785360244</v>
      </c>
      <c r="C3029">
        <v>68</v>
      </c>
      <c r="D3029" t="str">
        <f>"GBP"</f>
        <v>GBP</v>
      </c>
      <c r="E3029" t="str">
        <f>"2015"</f>
        <v>2015</v>
      </c>
      <c r="F3029" t="str">
        <f>"Larry Kreiser,Mikae"</f>
        <v>Larry Kreiser,Mikae</v>
      </c>
      <c r="G3029" t="str">
        <f>"AsarBartar"</f>
        <v>AsarBartar</v>
      </c>
    </row>
    <row r="3030" spans="1:7" x14ac:dyDescent="0.25">
      <c r="A3030" t="str">
        <f>"Environmental Principles and the Evolution of Environmental Law"</f>
        <v>Environmental Principles and the Evolution of Environmental Law</v>
      </c>
      <c r="B3030" t="str">
        <f>"9781849462976"</f>
        <v>9781849462976</v>
      </c>
      <c r="C3030">
        <v>51</v>
      </c>
      <c r="D3030" t="str">
        <f>"GBP"</f>
        <v>GBP</v>
      </c>
      <c r="E3030" t="str">
        <f>"2017"</f>
        <v>2017</v>
      </c>
      <c r="F3030" t="str">
        <f>"Eloise Scotford"</f>
        <v>Eloise Scotford</v>
      </c>
      <c r="G3030" t="str">
        <f>"arzinbooks"</f>
        <v>arzinbooks</v>
      </c>
    </row>
    <row r="3031" spans="1:7" x14ac:dyDescent="0.25">
      <c r="A3031" t="str">
        <f>"Environmental Problem Solving"</f>
        <v>Environmental Problem Solving</v>
      </c>
      <c r="B3031" t="str">
        <f>"9780387402970"</f>
        <v>9780387402970</v>
      </c>
      <c r="C3031">
        <v>19.989999999999998</v>
      </c>
      <c r="D3031" t="str">
        <f>"USD"</f>
        <v>USD</v>
      </c>
      <c r="E3031" t="str">
        <f>"2003"</f>
        <v>2003</v>
      </c>
      <c r="F3031" t="str">
        <f>"Miller"</f>
        <v>Miller</v>
      </c>
      <c r="G3031" t="str">
        <f>"safirketab"</f>
        <v>safirketab</v>
      </c>
    </row>
    <row r="3032" spans="1:7" x14ac:dyDescent="0.25">
      <c r="A3032" t="str">
        <f>"ENVIRONMENTAL PROBLEMS IN COASTAL REGIONS VII, HB"</f>
        <v>ENVIRONMENTAL PROBLEMS IN COASTAL REGIONS VII, HB</v>
      </c>
      <c r="B3032" t="str">
        <f>"9781845641085"</f>
        <v>9781845641085</v>
      </c>
      <c r="C3032">
        <v>67.900000000000006</v>
      </c>
      <c r="D3032" t="str">
        <f>"GBP"</f>
        <v>GBP</v>
      </c>
      <c r="E3032" t="str">
        <f>"2008"</f>
        <v>2008</v>
      </c>
      <c r="F3032" t="str">
        <f>"Brebbia"</f>
        <v>Brebbia</v>
      </c>
      <c r="G3032" t="str">
        <f>"supply"</f>
        <v>supply</v>
      </c>
    </row>
    <row r="3033" spans="1:7" x14ac:dyDescent="0.25">
      <c r="A3033" t="str">
        <f>"Environmental Project Management: Principles. Methodology. and Processes"</f>
        <v>Environmental Project Management: Principles. Methodology. and Processes</v>
      </c>
      <c r="B3033" t="str">
        <f>"9783319276496"</f>
        <v>9783319276496</v>
      </c>
      <c r="C3033">
        <v>116.99</v>
      </c>
      <c r="D3033" t="str">
        <f>"EUR"</f>
        <v>EUR</v>
      </c>
      <c r="E3033" t="str">
        <f>"2015"</f>
        <v>2015</v>
      </c>
      <c r="F3033" t="str">
        <f>"Sholarin"</f>
        <v>Sholarin</v>
      </c>
      <c r="G3033" t="str">
        <f>"negarestanabi"</f>
        <v>negarestanabi</v>
      </c>
    </row>
    <row r="3034" spans="1:7" x14ac:dyDescent="0.25">
      <c r="A3034" t="str">
        <f>"ENVIRONMENTAL PROTECTION AND SUSTAINABLE DEVT, HB"</f>
        <v>ENVIRONMENTAL PROTECTION AND SUSTAINABLE DEVT, HB</v>
      </c>
      <c r="B3034" t="str">
        <f>"9788131314562"</f>
        <v>9788131314562</v>
      </c>
      <c r="C3034">
        <v>32.200000000000003</v>
      </c>
      <c r="D3034" t="str">
        <f>"USD"</f>
        <v>USD</v>
      </c>
      <c r="E3034" t="str">
        <f>"2012"</f>
        <v>2012</v>
      </c>
      <c r="F3034" t="str">
        <f>"Chitkara"</f>
        <v>Chitkara</v>
      </c>
      <c r="G3034" t="str">
        <f>"supply"</f>
        <v>supply</v>
      </c>
    </row>
    <row r="3035" spans="1:7" x14ac:dyDescent="0.25">
      <c r="A3035" t="str">
        <f>"ENVIRONMENTAL RESOURCES &amp; BIOLOGICAL HAZARDS, HB"</f>
        <v>ENVIRONMENTAL RESOURCES &amp; BIOLOGICAL HAZARDS, HB</v>
      </c>
      <c r="B3035" t="str">
        <f>"9788131304372"</f>
        <v>9788131304372</v>
      </c>
      <c r="C3035">
        <v>30.24</v>
      </c>
      <c r="D3035" t="str">
        <f>"USD"</f>
        <v>USD</v>
      </c>
      <c r="E3035" t="str">
        <f>"2008"</f>
        <v>2008</v>
      </c>
      <c r="F3035" t="str">
        <f>"Mohanka"</f>
        <v>Mohanka</v>
      </c>
      <c r="G3035" t="str">
        <f>"supply"</f>
        <v>supply</v>
      </c>
    </row>
    <row r="3036" spans="1:7" x14ac:dyDescent="0.25">
      <c r="A3036" t="str">
        <f>"Environmental Scanning and Sustainable Development"</f>
        <v>Environmental Scanning and Sustainable Development</v>
      </c>
      <c r="B3036" t="str">
        <f>"9781848212848"</f>
        <v>9781848212848</v>
      </c>
      <c r="C3036">
        <v>55.6</v>
      </c>
      <c r="D3036" t="str">
        <f>"USD"</f>
        <v>USD</v>
      </c>
      <c r="E3036" t="str">
        <f>"2011"</f>
        <v>2011</v>
      </c>
      <c r="F3036" t="str">
        <f>"Lesca"</f>
        <v>Lesca</v>
      </c>
      <c r="G3036" t="str">
        <f>"avanddanesh"</f>
        <v>avanddanesh</v>
      </c>
    </row>
    <row r="3037" spans="1:7" x14ac:dyDescent="0.25">
      <c r="A3037" t="str">
        <f>"Environmental Science and Engineering"</f>
        <v>Environmental Science and Engineering</v>
      </c>
      <c r="B3037" t="str">
        <f>"9781783322145"</f>
        <v>9781783322145</v>
      </c>
      <c r="C3037">
        <v>38.46</v>
      </c>
      <c r="D3037" t="str">
        <f>"GBP"</f>
        <v>GBP</v>
      </c>
      <c r="E3037" t="str">
        <f>"2017"</f>
        <v>2017</v>
      </c>
      <c r="F3037" t="str">
        <f>"Kothari"</f>
        <v>Kothari</v>
      </c>
      <c r="G3037" t="str">
        <f>"safirketab"</f>
        <v>safirketab</v>
      </c>
    </row>
    <row r="3038" spans="1:7" x14ac:dyDescent="0.25">
      <c r="A3038" t="str">
        <f>"Environmental Science and Engineering"</f>
        <v>Environmental Science and Engineering</v>
      </c>
      <c r="B3038" t="str">
        <f>"9781783322145"</f>
        <v>9781783322145</v>
      </c>
      <c r="C3038">
        <v>38.47</v>
      </c>
      <c r="D3038" t="str">
        <f>"GBP"</f>
        <v>GBP</v>
      </c>
      <c r="E3038" t="str">
        <f>"2017"</f>
        <v>2017</v>
      </c>
      <c r="F3038" t="str">
        <f>"Kothari"</f>
        <v>Kothari</v>
      </c>
      <c r="G3038" t="str">
        <f>"jahanadib"</f>
        <v>jahanadib</v>
      </c>
    </row>
    <row r="3039" spans="1:7" x14ac:dyDescent="0.25">
      <c r="A3039" t="str">
        <f>"Environmental Science And Engineering, 2/e"</f>
        <v>Environmental Science And Engineering, 2/e</v>
      </c>
      <c r="B3039" t="str">
        <f>"9789332551749"</f>
        <v>9789332551749</v>
      </c>
      <c r="C3039">
        <v>15.3</v>
      </c>
      <c r="D3039" t="str">
        <f>"USD"</f>
        <v>USD</v>
      </c>
      <c r="E3039" t="str">
        <f>"2015"</f>
        <v>2015</v>
      </c>
      <c r="F3039" t="str">
        <f>"Heinke"</f>
        <v>Heinke</v>
      </c>
      <c r="G3039" t="str">
        <f>"jahanadib"</f>
        <v>jahanadib</v>
      </c>
    </row>
    <row r="3040" spans="1:7" x14ac:dyDescent="0.25">
      <c r="A3040" t="str">
        <f>"Environmental Science For Dummies"</f>
        <v>Environmental Science For Dummies</v>
      </c>
      <c r="B3040" t="str">
        <f>"9781118167144"</f>
        <v>9781118167144</v>
      </c>
      <c r="C3040">
        <v>12</v>
      </c>
      <c r="D3040" t="str">
        <f>"USD"</f>
        <v>USD</v>
      </c>
      <c r="E3040" t="str">
        <f>"2012"</f>
        <v>2012</v>
      </c>
      <c r="F3040" t="str">
        <f>"Spooner"</f>
        <v>Spooner</v>
      </c>
      <c r="G3040" t="str">
        <f>"avanddanesh"</f>
        <v>avanddanesh</v>
      </c>
    </row>
    <row r="3041" spans="1:7" x14ac:dyDescent="0.25">
      <c r="A3041" t="str">
        <f>"ENVIRONMENTAL SCIENCE, HB"</f>
        <v>ENVIRONMENTAL SCIENCE, HB</v>
      </c>
      <c r="B3041" t="str">
        <f>"9781926686547"</f>
        <v>9781926686547</v>
      </c>
      <c r="C3041">
        <v>91</v>
      </c>
      <c r="D3041" t="str">
        <f>"USD"</f>
        <v>USD</v>
      </c>
      <c r="E3041" t="str">
        <f>"2010"</f>
        <v>2010</v>
      </c>
      <c r="F3041" t="str">
        <f>"Sortore"</f>
        <v>Sortore</v>
      </c>
      <c r="G3041" t="str">
        <f>"supply"</f>
        <v>supply</v>
      </c>
    </row>
    <row r="3042" spans="1:7" x14ac:dyDescent="0.25">
      <c r="A3042" t="str">
        <f>"Environmental Science, ISV,8e"</f>
        <v>Environmental Science, ISV,8e</v>
      </c>
      <c r="B3042" t="str">
        <f>"9780470646090"</f>
        <v>9780470646090</v>
      </c>
      <c r="C3042">
        <v>21</v>
      </c>
      <c r="D3042" t="str">
        <f>"USD"</f>
        <v>USD</v>
      </c>
      <c r="E3042" t="str">
        <f>"2011"</f>
        <v>2011</v>
      </c>
      <c r="F3042" t="str">
        <f>"Botkin"</f>
        <v>Botkin</v>
      </c>
      <c r="G3042" t="str">
        <f>"avanddanesh"</f>
        <v>avanddanesh</v>
      </c>
    </row>
    <row r="3043" spans="1:7" x14ac:dyDescent="0.25">
      <c r="A3043" t="str">
        <f>"Environmental Security: An Introduction"</f>
        <v>Environmental Security: An Introduction</v>
      </c>
      <c r="B3043" t="str">
        <f>"9780415516488"</f>
        <v>9780415516488</v>
      </c>
      <c r="C3043">
        <v>26.4</v>
      </c>
      <c r="D3043" t="str">
        <f>"GBP"</f>
        <v>GBP</v>
      </c>
      <c r="E3043" t="str">
        <f>"2014"</f>
        <v>2014</v>
      </c>
      <c r="F3043" t="str">
        <f>"Peter Hough"</f>
        <v>Peter Hough</v>
      </c>
      <c r="G3043" t="str">
        <f>"AsarBartar"</f>
        <v>AsarBartar</v>
      </c>
    </row>
    <row r="3044" spans="1:7" x14ac:dyDescent="0.25">
      <c r="A3044" t="str">
        <f>"Environmental Stressors in Biology and Medicine"</f>
        <v>Environmental Stressors in Biology and Medicine</v>
      </c>
      <c r="B3044" t="str">
        <f>"9781573318709"</f>
        <v>9781573318709</v>
      </c>
      <c r="C3044">
        <v>93</v>
      </c>
      <c r="D3044" t="str">
        <f>"USD"</f>
        <v>USD</v>
      </c>
      <c r="E3044" t="str">
        <f>"2012"</f>
        <v>2012</v>
      </c>
      <c r="F3044" t="str">
        <f>"Valacchi"</f>
        <v>Valacchi</v>
      </c>
      <c r="G3044" t="str">
        <f>"avanddanesh"</f>
        <v>avanddanesh</v>
      </c>
    </row>
    <row r="3045" spans="1:7" x14ac:dyDescent="0.25">
      <c r="A3045" t="str">
        <f>"ENVIRONMENTAL STUDIES, HB"</f>
        <v>ENVIRONMENTAL STUDIES, HB</v>
      </c>
      <c r="B3045" t="str">
        <f>"9788180697746"</f>
        <v>9788180697746</v>
      </c>
      <c r="C3045">
        <v>21.56</v>
      </c>
      <c r="D3045" t="str">
        <f>"USD"</f>
        <v>USD</v>
      </c>
      <c r="E3045" t="str">
        <f>"2012"</f>
        <v>2012</v>
      </c>
      <c r="F3045" t="str">
        <f>"Singh"</f>
        <v>Singh</v>
      </c>
      <c r="G3045" t="str">
        <f>"supply"</f>
        <v>supply</v>
      </c>
    </row>
    <row r="3046" spans="1:7" x14ac:dyDescent="0.25">
      <c r="A3046" t="str">
        <f>"ENVIRONMENTAL SURVEILLANCE, Set of 3 vols, HB"</f>
        <v>ENVIRONMENTAL SURVEILLANCE, Set of 3 vols, HB</v>
      </c>
      <c r="B3046" t="str">
        <f>"9788131300060"</f>
        <v>9788131300060</v>
      </c>
      <c r="C3046">
        <v>87.5</v>
      </c>
      <c r="D3046" t="str">
        <f>"USD"</f>
        <v>USD</v>
      </c>
      <c r="E3046" t="str">
        <f>"2006"</f>
        <v>2006</v>
      </c>
      <c r="F3046" t="str">
        <f>"Markandey"</f>
        <v>Markandey</v>
      </c>
      <c r="G3046" t="str">
        <f>"supply"</f>
        <v>supply</v>
      </c>
    </row>
    <row r="3047" spans="1:7" x14ac:dyDescent="0.25">
      <c r="A3047" t="str">
        <f>"Environmental Sustainability Using Green Technologies"</f>
        <v>Environmental Sustainability Using Green Technologies</v>
      </c>
      <c r="B3047" t="str">
        <f>"9781498753050"</f>
        <v>9781498753050</v>
      </c>
      <c r="C3047">
        <v>69.7</v>
      </c>
      <c r="D3047" t="str">
        <f>"GBP"</f>
        <v>GBP</v>
      </c>
      <c r="E3047" t="str">
        <f>"2016"</f>
        <v>2016</v>
      </c>
      <c r="F3047" t="str">
        <f>"V. Sivasubramanian("</f>
        <v>V. Sivasubramanian(</v>
      </c>
      <c r="G3047" t="str">
        <f>"AsarBartar"</f>
        <v>AsarBartar</v>
      </c>
    </row>
    <row r="3048" spans="1:7" x14ac:dyDescent="0.25">
      <c r="A3048" t="str">
        <f>"Environmental Threat Resource Depletion And Sustainable, HB"</f>
        <v>Environmental Threat Resource Depletion And Sustainable, HB</v>
      </c>
      <c r="B3048" t="str">
        <f>"9788179103685"</f>
        <v>9788179103685</v>
      </c>
      <c r="C3048">
        <v>28.7</v>
      </c>
      <c r="D3048" t="str">
        <f>"USD"</f>
        <v>USD</v>
      </c>
      <c r="E3048" t="str">
        <f>"2012"</f>
        <v>2012</v>
      </c>
      <c r="F3048" t="str">
        <f>"Banerjee"</f>
        <v>Banerjee</v>
      </c>
      <c r="G3048" t="str">
        <f>"supply"</f>
        <v>supply</v>
      </c>
    </row>
    <row r="3049" spans="1:7" x14ac:dyDescent="0.25">
      <c r="A3049" t="str">
        <f>"ENVIRONMENTAL TOXICOLOGY III, HB"</f>
        <v>ENVIRONMENTAL TOXICOLOGY III, HB</v>
      </c>
      <c r="B3049" t="str">
        <f>"9781845644383"</f>
        <v>9781845644383</v>
      </c>
      <c r="C3049">
        <v>55.3</v>
      </c>
      <c r="D3049" t="str">
        <f>"GBP"</f>
        <v>GBP</v>
      </c>
      <c r="E3049" t="str">
        <f>"2010"</f>
        <v>2010</v>
      </c>
      <c r="F3049" t="str">
        <f>"Brebbia"</f>
        <v>Brebbia</v>
      </c>
      <c r="G3049" t="str">
        <f>"supply"</f>
        <v>supply</v>
      </c>
    </row>
    <row r="3050" spans="1:7" x14ac:dyDescent="0.25">
      <c r="A3050" t="str">
        <f>"EPD CONGRESS 2004, CD-ROM ONLY"</f>
        <v>EPD CONGRESS 2004, CD-ROM ONLY</v>
      </c>
      <c r="B3050" t="str">
        <f>"9780877395652"</f>
        <v>9780877395652</v>
      </c>
      <c r="C3050">
        <v>77.7</v>
      </c>
      <c r="D3050" t="str">
        <f>"USD"</f>
        <v>USD</v>
      </c>
      <c r="E3050" t="str">
        <f>"2004"</f>
        <v>2004</v>
      </c>
      <c r="F3050" t="str">
        <f>"Schlesinger"</f>
        <v>Schlesinger</v>
      </c>
      <c r="G3050" t="str">
        <f>"supply"</f>
        <v>supply</v>
      </c>
    </row>
    <row r="3051" spans="1:7" x14ac:dyDescent="0.25">
      <c r="A3051" t="str">
        <f>"Epidemiology And Plant Ecology: Principles And Applications"</f>
        <v>Epidemiology And Plant Ecology: Principles And Applications</v>
      </c>
      <c r="B3051" t="str">
        <f>"9789812705778"</f>
        <v>9789812705778</v>
      </c>
      <c r="C3051">
        <v>14.5</v>
      </c>
      <c r="D3051" t="str">
        <f>"GBP"</f>
        <v>GBP</v>
      </c>
      <c r="E3051" t="str">
        <f>"2007"</f>
        <v>2007</v>
      </c>
      <c r="F3051" t="str">
        <f>"Frantzen Jos"</f>
        <v>Frantzen Jos</v>
      </c>
      <c r="G3051" t="str">
        <f>"kowkab"</f>
        <v>kowkab</v>
      </c>
    </row>
    <row r="3052" spans="1:7" x14ac:dyDescent="0.25">
      <c r="A3052" t="str">
        <f>"Essentials of Geology                                                                                                                                   "</f>
        <v xml:space="preserve">Essentials of Geology                                                                                                                                   </v>
      </c>
      <c r="B3052" t="str">
        <f>"9780393263398"</f>
        <v>9780393263398</v>
      </c>
      <c r="C3052">
        <v>97.75</v>
      </c>
      <c r="D3052" t="str">
        <f>"USD"</f>
        <v>USD</v>
      </c>
      <c r="E3052" t="str">
        <f>"2016"</f>
        <v>2016</v>
      </c>
      <c r="F3052" t="str">
        <f>"Marshak        "</f>
        <v xml:space="preserve">Marshak        </v>
      </c>
      <c r="G3052" t="str">
        <f>"safirketab"</f>
        <v>safirketab</v>
      </c>
    </row>
    <row r="3053" spans="1:7" x14ac:dyDescent="0.25">
      <c r="A3053" t="str">
        <f>"Estuaries: Monitoring and Modeling the Physical System"</f>
        <v>Estuaries: Monitoring and Modeling the Physical System</v>
      </c>
      <c r="B3053" t="str">
        <f>"9781405146425"</f>
        <v>9781405146425</v>
      </c>
      <c r="C3053">
        <v>32</v>
      </c>
      <c r="D3053" t="str">
        <f>"USD"</f>
        <v>USD</v>
      </c>
      <c r="E3053" t="str">
        <f>"2007"</f>
        <v>2007</v>
      </c>
      <c r="F3053" t="str">
        <f>"Hardisty"</f>
        <v>Hardisty</v>
      </c>
      <c r="G3053" t="str">
        <f>"avanddanesh"</f>
        <v>avanddanesh</v>
      </c>
    </row>
    <row r="3054" spans="1:7" x14ac:dyDescent="0.25">
      <c r="A3054" t="str">
        <f>"Estuarine Ecohydrology, An Introduction, 2nd Edition"</f>
        <v>Estuarine Ecohydrology, An Introduction, 2nd Edition</v>
      </c>
      <c r="B3054" t="str">
        <f>"9780444633989"</f>
        <v>9780444633989</v>
      </c>
      <c r="C3054">
        <v>90.9</v>
      </c>
      <c r="D3054" t="str">
        <f>"USD"</f>
        <v>USD</v>
      </c>
      <c r="E3054" t="str">
        <f>"2015"</f>
        <v>2015</v>
      </c>
      <c r="F3054" t="str">
        <f>"Wolanski and Elliott"</f>
        <v>Wolanski and Elliott</v>
      </c>
      <c r="G3054" t="str">
        <f>"arang"</f>
        <v>arang</v>
      </c>
    </row>
    <row r="3055" spans="1:7" x14ac:dyDescent="0.25">
      <c r="A3055" t="str">
        <f>"EU Environmental Law, Governance and Decision-Making: Second Edition"</f>
        <v>EU Environmental Law, Governance and Decision-Making: Second Edition</v>
      </c>
      <c r="B3055" t="str">
        <f>"9781849464215"</f>
        <v>9781849464215</v>
      </c>
      <c r="C3055">
        <v>14</v>
      </c>
      <c r="D3055" t="str">
        <f>"GBP"</f>
        <v>GBP</v>
      </c>
      <c r="E3055" t="str">
        <f>"2014"</f>
        <v>2014</v>
      </c>
      <c r="F3055" t="str">
        <f>"Maria Lee"</f>
        <v>Maria Lee</v>
      </c>
      <c r="G3055" t="str">
        <f>"arzinbooks"</f>
        <v>arzinbooks</v>
      </c>
    </row>
    <row r="3056" spans="1:7" x14ac:dyDescent="0.25">
      <c r="A3056" t="str">
        <f>"Evaluating Veterinary Pharmaceutical Behavior in the Environment (Acs Symposium Series)"</f>
        <v>Evaluating Veterinary Pharmaceutical Behavior in the Environment (Acs Symposium Series)</v>
      </c>
      <c r="B3056" t="str">
        <f>"9780841227019"</f>
        <v>9780841227019</v>
      </c>
      <c r="C3056">
        <v>58.2</v>
      </c>
      <c r="D3056" t="str">
        <f>"GBP"</f>
        <v>GBP</v>
      </c>
      <c r="E3056" t="str">
        <f>"2013"</f>
        <v>2013</v>
      </c>
      <c r="F3056" t="str">
        <f>"Philip N. Smith(Edi"</f>
        <v>Philip N. Smith(Edi</v>
      </c>
      <c r="G3056" t="str">
        <f>"AsarBartar"</f>
        <v>AsarBartar</v>
      </c>
    </row>
    <row r="3057" spans="1:7" x14ac:dyDescent="0.25">
      <c r="A3057" t="str">
        <f>"Evidence-Based Climate Science, Data Opposing CO2 Emissions as the Primary Source of Global Warming, 2nd Edition"</f>
        <v>Evidence-Based Climate Science, Data Opposing CO2 Emissions as the Primary Source of Global Warming, 2nd Edition</v>
      </c>
      <c r="B3057" t="str">
        <f>"9780128045886"</f>
        <v>9780128045886</v>
      </c>
      <c r="C3057">
        <v>121.5</v>
      </c>
      <c r="D3057" t="str">
        <f>"USD"</f>
        <v>USD</v>
      </c>
      <c r="E3057" t="str">
        <f>"2016"</f>
        <v>2016</v>
      </c>
      <c r="F3057" t="str">
        <f>"Easterbrook"</f>
        <v>Easterbrook</v>
      </c>
      <c r="G3057" t="str">
        <f>"arang"</f>
        <v>arang</v>
      </c>
    </row>
    <row r="3058" spans="1:7" x14ac:dyDescent="0.25">
      <c r="A3058" t="str">
        <f>"Evolution of Meteorology: A Look into the Past, Present, and Future of Weather Forecasting"</f>
        <v>Evolution of Meteorology: A Look into the Past, Present, and Future of Weather Forecasting</v>
      </c>
      <c r="B3058" t="str">
        <f>"9781119136149"</f>
        <v>9781119136149</v>
      </c>
      <c r="C3058">
        <v>90</v>
      </c>
      <c r="D3058" t="str">
        <f>"USD"</f>
        <v>USD</v>
      </c>
      <c r="E3058" t="str">
        <f>"2017"</f>
        <v>2017</v>
      </c>
      <c r="F3058" t="str">
        <f>"Teague"</f>
        <v>Teague</v>
      </c>
      <c r="G3058" t="str">
        <f>"avanddanesh"</f>
        <v>avanddanesh</v>
      </c>
    </row>
    <row r="3059" spans="1:7" x14ac:dyDescent="0.25">
      <c r="A3059" t="str">
        <f>"Evolutionary Computation with Biogeography-based Optimization"</f>
        <v>Evolutionary Computation with Biogeography-based Optimization</v>
      </c>
      <c r="B3059" t="str">
        <f>"9781848218079"</f>
        <v>9781848218079</v>
      </c>
      <c r="C3059">
        <v>121.5</v>
      </c>
      <c r="D3059" t="str">
        <f>"USD"</f>
        <v>USD</v>
      </c>
      <c r="E3059" t="str">
        <f>"2017"</f>
        <v>2017</v>
      </c>
      <c r="F3059" t="str">
        <f>"Ma"</f>
        <v>Ma</v>
      </c>
      <c r="G3059" t="str">
        <f>"avanddanesh"</f>
        <v>avanddanesh</v>
      </c>
    </row>
    <row r="3060" spans="1:7" x14ac:dyDescent="0.25">
      <c r="A3060" t="str">
        <f>"Evolutionary Transitions to Multicellular Life: Principles and mechanisms"</f>
        <v>Evolutionary Transitions to Multicellular Life: Principles and mechanisms</v>
      </c>
      <c r="B3060" t="str">
        <f>"9789401796415"</f>
        <v>9789401796415</v>
      </c>
      <c r="C3060">
        <v>116.99</v>
      </c>
      <c r="D3060" t="str">
        <f>"EUR"</f>
        <v>EUR</v>
      </c>
      <c r="E3060" t="str">
        <f>"2015"</f>
        <v>2015</v>
      </c>
      <c r="F3060" t="str">
        <f>"Ruiz-Trillo"</f>
        <v>Ruiz-Trillo</v>
      </c>
      <c r="G3060" t="str">
        <f>"negarestanabi"</f>
        <v>negarestanabi</v>
      </c>
    </row>
    <row r="3061" spans="1:7" x14ac:dyDescent="0.25">
      <c r="A3061" t="str">
        <f>"EVRMNTL CNTMNTS WLDLF INT 2E"</f>
        <v>EVRMNTL CNTMNTS WLDLF INT 2E</v>
      </c>
      <c r="B3061" t="str">
        <f>"9781420084054"</f>
        <v>9781420084054</v>
      </c>
      <c r="C3061">
        <v>24.6</v>
      </c>
      <c r="D3061" t="str">
        <f>"GBP"</f>
        <v>GBP</v>
      </c>
      <c r="E3061" t="str">
        <f>"2011"</f>
        <v>2011</v>
      </c>
      <c r="F3061" t="str">
        <f>"BEYER"</f>
        <v>BEYER</v>
      </c>
      <c r="G3061" t="str">
        <f>"AsarBartar"</f>
        <v>AsarBartar</v>
      </c>
    </row>
    <row r="3062" spans="1:7" x14ac:dyDescent="0.25">
      <c r="A3062" t="str">
        <f>"Examining Ecology, Exercises in Environmental Biology and Conservation"</f>
        <v>Examining Ecology, Exercises in Environmental Biology and Conservation</v>
      </c>
      <c r="B3062" t="str">
        <f>"9780128093276"</f>
        <v>9780128093276</v>
      </c>
      <c r="C3062">
        <v>44.95</v>
      </c>
      <c r="D3062" t="str">
        <f>"USD"</f>
        <v>USD</v>
      </c>
      <c r="E3062" t="str">
        <f>"2017"</f>
        <v>2017</v>
      </c>
      <c r="F3062" t="str">
        <f>"Rees"</f>
        <v>Rees</v>
      </c>
      <c r="G3062" t="str">
        <f>"dehkadehketab"</f>
        <v>dehkadehketab</v>
      </c>
    </row>
    <row r="3063" spans="1:7" x14ac:dyDescent="0.25">
      <c r="A3063" t="str">
        <f>"Examining the Role of Environmental Change on Emerging Infectious Diseases and Pandemics"</f>
        <v>Examining the Role of Environmental Change on Emerging Infectious Diseases and Pandemics</v>
      </c>
      <c r="B3063" t="str">
        <f>"9781522505532"</f>
        <v>9781522505532</v>
      </c>
      <c r="C3063">
        <v>150</v>
      </c>
      <c r="D3063" t="str">
        <f>"USD"</f>
        <v>USD</v>
      </c>
      <c r="E3063" t="str">
        <f>"2017"</f>
        <v>2017</v>
      </c>
      <c r="F3063" t="str">
        <f>"Maha Bouzid"</f>
        <v>Maha Bouzid</v>
      </c>
      <c r="G3063" t="str">
        <f>"arzinbooks"</f>
        <v>arzinbooks</v>
      </c>
    </row>
    <row r="3064" spans="1:7" x14ac:dyDescent="0.25">
      <c r="A3064" t="str">
        <f>"Experiencing Climate Change In Bangladesh, Vulnera"</f>
        <v>Experiencing Climate Change In Bangladesh, Vulnera</v>
      </c>
      <c r="B3064" t="str">
        <f>"9780128034040"</f>
        <v>9780128034040</v>
      </c>
      <c r="C3064">
        <v>90</v>
      </c>
      <c r="D3064" t="str">
        <f>"USD"</f>
        <v>USD</v>
      </c>
      <c r="E3064" t="str">
        <f>"2015"</f>
        <v>2015</v>
      </c>
      <c r="F3064" t="str">
        <f>"N/A*"</f>
        <v>N/A*</v>
      </c>
      <c r="G3064" t="str">
        <f>"dehkadehketab"</f>
        <v>dehkadehketab</v>
      </c>
    </row>
    <row r="3065" spans="1:7" x14ac:dyDescent="0.25">
      <c r="A3065" t="str">
        <f>"Experimental Hydraulics: Methods, Instrumentation, Data Processing and Management, Two Volume Set (IAHR Monographs)"</f>
        <v>Experimental Hydraulics: Methods, Instrumentation, Data Processing and Management, Two Volume Set (IAHR Monographs)</v>
      </c>
      <c r="B3065" t="str">
        <f>"9781138027534"</f>
        <v>9781138027534</v>
      </c>
      <c r="C3065">
        <v>171</v>
      </c>
      <c r="D3065" t="str">
        <f>"GBP"</f>
        <v>GBP</v>
      </c>
      <c r="E3065" t="str">
        <f>"2017"</f>
        <v>2017</v>
      </c>
      <c r="F3065" t="str">
        <f>"Muste"</f>
        <v>Muste</v>
      </c>
      <c r="G3065" t="str">
        <f>"sal"</f>
        <v>sal</v>
      </c>
    </row>
    <row r="3066" spans="1:7" x14ac:dyDescent="0.25">
      <c r="A3066" t="str">
        <f>"Explorations of Mathematical Models in Biology with Maple (TM)"</f>
        <v>Explorations of Mathematical Models in Biology with Maple (TM)</v>
      </c>
      <c r="B3066" t="str">
        <f>"9781118032114"</f>
        <v>9781118032114</v>
      </c>
      <c r="C3066">
        <v>89.3</v>
      </c>
      <c r="D3066" t="str">
        <f>"USD"</f>
        <v>USD</v>
      </c>
      <c r="E3066" t="str">
        <f>"2014"</f>
        <v>2014</v>
      </c>
      <c r="F3066" t="str">
        <f>"Shahin"</f>
        <v>Shahin</v>
      </c>
      <c r="G3066" t="str">
        <f>"avanddanesh"</f>
        <v>avanddanesh</v>
      </c>
    </row>
    <row r="3067" spans="1:7" x14ac:dyDescent="0.25">
      <c r="A3067" t="str">
        <f>"Explorations of Mathematical Models in Biology with MATLAB"</f>
        <v>Explorations of Mathematical Models in Biology with MATLAB</v>
      </c>
      <c r="B3067" t="str">
        <f>"9781118032121"</f>
        <v>9781118032121</v>
      </c>
      <c r="C3067">
        <v>92.3</v>
      </c>
      <c r="D3067" t="str">
        <f>"USD"</f>
        <v>USD</v>
      </c>
      <c r="E3067" t="str">
        <f>"2014"</f>
        <v>2014</v>
      </c>
      <c r="F3067" t="str">
        <f>"Shahin"</f>
        <v>Shahin</v>
      </c>
      <c r="G3067" t="str">
        <f>"avanddanesh"</f>
        <v>avanddanesh</v>
      </c>
    </row>
    <row r="3068" spans="1:7" x14ac:dyDescent="0.25">
      <c r="A3068" t="str">
        <f>"Exploring Natural Hazards: A Case Study Approach"</f>
        <v>Exploring Natural Hazards: A Case Study Approach</v>
      </c>
      <c r="B3068" t="str">
        <f>"9781138054424"</f>
        <v>9781138054424</v>
      </c>
      <c r="C3068">
        <v>126</v>
      </c>
      <c r="D3068" t="str">
        <f>"GBP"</f>
        <v>GBP</v>
      </c>
      <c r="E3068" t="str">
        <f>"2018"</f>
        <v>2018</v>
      </c>
      <c r="F3068" t="str">
        <f>"Bartlett"</f>
        <v>Bartlett</v>
      </c>
      <c r="G3068" t="str">
        <f>"sal"</f>
        <v>sal</v>
      </c>
    </row>
    <row r="3069" spans="1:7" x14ac:dyDescent="0.25">
      <c r="A3069" t="str">
        <f>"Exploring the Last Continent: An Introduction to Antarctica"</f>
        <v>Exploring the Last Continent: An Introduction to Antarctica</v>
      </c>
      <c r="B3069" t="str">
        <f>"9783319189468"</f>
        <v>9783319189468</v>
      </c>
      <c r="C3069">
        <v>152.99</v>
      </c>
      <c r="D3069" t="str">
        <f>"EUR"</f>
        <v>EUR</v>
      </c>
      <c r="E3069" t="str">
        <f>"2015"</f>
        <v>2015</v>
      </c>
      <c r="F3069" t="str">
        <f>"Liggett"</f>
        <v>Liggett</v>
      </c>
      <c r="G3069" t="str">
        <f>"negarestanabi"</f>
        <v>negarestanabi</v>
      </c>
    </row>
    <row r="3070" spans="1:7" x14ac:dyDescent="0.25">
      <c r="A3070" t="str">
        <f>"Extraction Techniques in Analytical Sciences"</f>
        <v>Extraction Techniques in Analytical Sciences</v>
      </c>
      <c r="B3070" t="str">
        <f>"9780470772843"</f>
        <v>9780470772843</v>
      </c>
      <c r="C3070">
        <v>50.39</v>
      </c>
      <c r="D3070" t="str">
        <f>"USD"</f>
        <v>USD</v>
      </c>
      <c r="E3070" t="str">
        <f>"2010"</f>
        <v>2010</v>
      </c>
      <c r="F3070" t="str">
        <f>"Dean"</f>
        <v>Dean</v>
      </c>
      <c r="G3070" t="str">
        <f>"safirketab"</f>
        <v>safirketab</v>
      </c>
    </row>
    <row r="3071" spans="1:7" x14ac:dyDescent="0.25">
      <c r="A3071" t="str">
        <f>"Field Guide to the Carboniferous Sediments of the Shannon Basin, Western Ireland"</f>
        <v>Field Guide to the Carboniferous Sediments of the Shannon Basin, Western Ireland</v>
      </c>
      <c r="B3071" t="str">
        <f>"9781119257127"</f>
        <v>9781119257127</v>
      </c>
      <c r="C3071">
        <v>42.5</v>
      </c>
      <c r="D3071" t="str">
        <f>"USD"</f>
        <v>USD</v>
      </c>
      <c r="E3071" t="str">
        <f>"2016"</f>
        <v>2016</v>
      </c>
      <c r="F3071" t="str">
        <f>"Best"</f>
        <v>Best</v>
      </c>
      <c r="G3071" t="str">
        <f>"avanddanesh"</f>
        <v>avanddanesh</v>
      </c>
    </row>
    <row r="3072" spans="1:7" x14ac:dyDescent="0.25">
      <c r="A3072" t="str">
        <f>"Field Hydrogeology,4e"</f>
        <v>Field Hydrogeology,4e</v>
      </c>
      <c r="B3072" t="str">
        <f>"9781118397367"</f>
        <v>9781118397367</v>
      </c>
      <c r="C3072">
        <v>45</v>
      </c>
      <c r="D3072" t="str">
        <f>"USD"</f>
        <v>USD</v>
      </c>
      <c r="E3072" t="str">
        <f>"2017"</f>
        <v>2017</v>
      </c>
      <c r="F3072" t="str">
        <f>"Brassington"</f>
        <v>Brassington</v>
      </c>
      <c r="G3072" t="str">
        <f>"avanddanesh"</f>
        <v>avanddanesh</v>
      </c>
    </row>
    <row r="3073" spans="1:7" x14ac:dyDescent="0.25">
      <c r="A3073" t="str">
        <f>"Fisheries. Quota Management and Quota Transfer: Rationalization through Bio-economics"</f>
        <v>Fisheries. Quota Management and Quota Transfer: Rationalization through Bio-economics</v>
      </c>
      <c r="B3073" t="str">
        <f>"9783319591674"</f>
        <v>9783319591674</v>
      </c>
      <c r="C3073">
        <v>80.989999999999995</v>
      </c>
      <c r="D3073" t="str">
        <f>"EUR"</f>
        <v>EUR</v>
      </c>
      <c r="E3073" t="str">
        <f>"2018"</f>
        <v>2018</v>
      </c>
      <c r="F3073" t="str">
        <f>"Winder"</f>
        <v>Winder</v>
      </c>
      <c r="G3073" t="str">
        <f>"negarestanabi"</f>
        <v>negarestanabi</v>
      </c>
    </row>
    <row r="3074" spans="1:7" x14ac:dyDescent="0.25">
      <c r="A3074" t="str">
        <f>"FLOCCULATION IN NATURAL AND ENGINEERED ENVIRONMENTAL SYSTEMS"</f>
        <v>FLOCCULATION IN NATURAL AND ENGINEERED ENVIRONMENTAL SYSTEMS</v>
      </c>
      <c r="B3074" t="str">
        <f>"9781566706155"</f>
        <v>9781566706155</v>
      </c>
      <c r="C3074">
        <v>129.54</v>
      </c>
      <c r="D3074" t="str">
        <f>"USD"</f>
        <v>USD</v>
      </c>
      <c r="E3074" t="str">
        <f>"2004"</f>
        <v>2004</v>
      </c>
      <c r="F3074" t="str">
        <f>"IAN G. DROPPO"</f>
        <v>IAN G. DROPPO</v>
      </c>
      <c r="G3074" t="str">
        <f>"safirketab"</f>
        <v>safirketab</v>
      </c>
    </row>
    <row r="3075" spans="1:7" x14ac:dyDescent="0.25">
      <c r="A3075" t="str">
        <f>"Flood Assessment: Modeling &amp; Parameterization (Innovations in Agricultural &amp; Biological Engineering)"</f>
        <v>Flood Assessment: Modeling &amp; Parameterization (Innovations in Agricultural &amp; Biological Engineering)</v>
      </c>
      <c r="B3075" t="str">
        <f>"9781771884570"</f>
        <v>9781771884570</v>
      </c>
      <c r="C3075">
        <v>89.1</v>
      </c>
      <c r="D3075" t="str">
        <f>"GBP"</f>
        <v>GBP</v>
      </c>
      <c r="E3075" t="str">
        <f>"2017"</f>
        <v>2017</v>
      </c>
      <c r="F3075" t="str">
        <f>"Harmsen"</f>
        <v>Harmsen</v>
      </c>
      <c r="G3075" t="str">
        <f>"sal"</f>
        <v>sal</v>
      </c>
    </row>
    <row r="3076" spans="1:7" x14ac:dyDescent="0.25">
      <c r="A3076" t="str">
        <f>"Flood Damage Survey and Assessment: New Insights from Research and Practice"</f>
        <v>Flood Damage Survey and Assessment: New Insights from Research and Practice</v>
      </c>
      <c r="B3076" t="str">
        <f>"9781119217923"</f>
        <v>9781119217923</v>
      </c>
      <c r="C3076">
        <v>135</v>
      </c>
      <c r="D3076" t="str">
        <f>"USD"</f>
        <v>USD</v>
      </c>
      <c r="E3076" t="str">
        <f>"2017"</f>
        <v>2017</v>
      </c>
      <c r="F3076" t="str">
        <f>"Molinari"</f>
        <v>Molinari</v>
      </c>
      <c r="G3076" t="str">
        <f>"avanddanesh"</f>
        <v>avanddanesh</v>
      </c>
    </row>
    <row r="3077" spans="1:7" x14ac:dyDescent="0.25">
      <c r="A3077" t="str">
        <f>"FLOOD HAZARD IDENTIFICATION AND MITIGATION IN SEMI- AND ARID ENVIRONMENTS"</f>
        <v>FLOOD HAZARD IDENTIFICATION AND MITIGATION IN SEMI- AND ARID ENVIRONMENTS</v>
      </c>
      <c r="B3077" t="str">
        <f>"9789814355094"</f>
        <v>9789814355094</v>
      </c>
      <c r="C3077">
        <v>43.8</v>
      </c>
      <c r="D3077" t="str">
        <f>"GBP"</f>
        <v>GBP</v>
      </c>
      <c r="E3077" t="str">
        <f>"2012"</f>
        <v>2012</v>
      </c>
      <c r="F3077" t="str">
        <f>"FRENCH RICHARC H ET"</f>
        <v>FRENCH RICHARC H ET</v>
      </c>
      <c r="G3077" t="str">
        <f>"AsarBartar"</f>
        <v>AsarBartar</v>
      </c>
    </row>
    <row r="3078" spans="1:7" x14ac:dyDescent="0.25">
      <c r="A3078" t="str">
        <f>"FLOOD RECOVERY, INNOVATION &amp; RESPONSE II, HB"</f>
        <v>FLOOD RECOVERY, INNOVATION &amp; RESPONSE II, HB</v>
      </c>
      <c r="B3078" t="str">
        <f>"9781845644444"</f>
        <v>9781845644444</v>
      </c>
      <c r="C3078">
        <v>89.6</v>
      </c>
      <c r="D3078" t="str">
        <f>"GBP"</f>
        <v>GBP</v>
      </c>
      <c r="E3078" t="str">
        <f>"2010"</f>
        <v>2010</v>
      </c>
      <c r="F3078" t="str">
        <f>"Wrachien"</f>
        <v>Wrachien</v>
      </c>
      <c r="G3078" t="str">
        <f>"supply"</f>
        <v>supply</v>
      </c>
    </row>
    <row r="3079" spans="1:7" x14ac:dyDescent="0.25">
      <c r="A3079" t="str">
        <f>"FLOOD RECOVERY, INNOVATION AND RESPONSE, HB"</f>
        <v>FLOOD RECOVERY, INNOVATION AND RESPONSE, HB</v>
      </c>
      <c r="B3079" t="str">
        <f>"9781845641320"</f>
        <v>9781845641320</v>
      </c>
      <c r="C3079">
        <v>97.3</v>
      </c>
      <c r="D3079" t="str">
        <f>"GBP"</f>
        <v>GBP</v>
      </c>
      <c r="E3079" t="str">
        <f>"2008"</f>
        <v>2008</v>
      </c>
      <c r="F3079" t="str">
        <f>"Proverbs"</f>
        <v>Proverbs</v>
      </c>
      <c r="G3079" t="str">
        <f>"supply"</f>
        <v>supply</v>
      </c>
    </row>
    <row r="3080" spans="1:7" x14ac:dyDescent="0.25">
      <c r="A3080" t="str">
        <f>"Flood Risk Science and Management"</f>
        <v>Flood Risk Science and Management</v>
      </c>
      <c r="B3080" t="str">
        <f>"9781405186575"</f>
        <v>9781405186575</v>
      </c>
      <c r="C3080">
        <v>239.21</v>
      </c>
      <c r="D3080" t="str">
        <f>"USD"</f>
        <v>USD</v>
      </c>
      <c r="E3080" t="str">
        <f>"2010"</f>
        <v>2010</v>
      </c>
      <c r="F3080" t="str">
        <f>"Pender"</f>
        <v>Pender</v>
      </c>
      <c r="G3080" t="str">
        <f>"safirketab"</f>
        <v>safirketab</v>
      </c>
    </row>
    <row r="3081" spans="1:7" x14ac:dyDescent="0.25">
      <c r="A3081" t="str">
        <f>"Fluid Dynamics for Global Environmental Studies"</f>
        <v>Fluid Dynamics for Global Environmental Studies</v>
      </c>
      <c r="B3081" t="str">
        <f>"9784431564973"</f>
        <v>9784431564973</v>
      </c>
      <c r="C3081">
        <v>116.99</v>
      </c>
      <c r="D3081" t="str">
        <f>"EUR"</f>
        <v>EUR</v>
      </c>
      <c r="E3081" t="str">
        <f>"2017"</f>
        <v>2017</v>
      </c>
      <c r="F3081" t="str">
        <f>"Interdis.Grad Sch En"</f>
        <v>Interdis.Grad Sch En</v>
      </c>
      <c r="G3081" t="str">
        <f>"negarestanabi"</f>
        <v>negarestanabi</v>
      </c>
    </row>
    <row r="3082" spans="1:7" x14ac:dyDescent="0.25">
      <c r="A3082" t="str">
        <f>"Fluid Dynamics of the Mid-Latitude Atmosphere"</f>
        <v>Fluid Dynamics of the Mid-Latitude Atmosphere</v>
      </c>
      <c r="B3082" t="str">
        <f>"9780470795194"</f>
        <v>9780470795194</v>
      </c>
      <c r="C3082">
        <v>41.3</v>
      </c>
      <c r="D3082" t="str">
        <f>"USD"</f>
        <v>USD</v>
      </c>
      <c r="E3082" t="str">
        <f>"2014"</f>
        <v>2014</v>
      </c>
      <c r="F3082" t="str">
        <f>"Hoskins"</f>
        <v>Hoskins</v>
      </c>
      <c r="G3082" t="str">
        <f>"avanddanesh"</f>
        <v>avanddanesh</v>
      </c>
    </row>
    <row r="3083" spans="1:7" x14ac:dyDescent="0.25">
      <c r="A3083" t="str">
        <f>"Fluid Dynamics of the Mid-Latitude Atmosphere"</f>
        <v>Fluid Dynamics of the Mid-Latitude Atmosphere</v>
      </c>
      <c r="B3083" t="str">
        <f>"9780470833698"</f>
        <v>9780470833698</v>
      </c>
      <c r="C3083">
        <v>93.8</v>
      </c>
      <c r="D3083" t="str">
        <f>"USD"</f>
        <v>USD</v>
      </c>
      <c r="E3083" t="str">
        <f>"2014"</f>
        <v>2014</v>
      </c>
      <c r="F3083" t="str">
        <f>"Hoskins"</f>
        <v>Hoskins</v>
      </c>
      <c r="G3083" t="str">
        <f>"avanddanesh"</f>
        <v>avanddanesh</v>
      </c>
    </row>
    <row r="3084" spans="1:7" x14ac:dyDescent="0.25">
      <c r="A3084" t="str">
        <f>"Fluoride in Drinking Water: Status, Issues, and Solutions"</f>
        <v>Fluoride in Drinking Water: Status, Issues, and Solutions</v>
      </c>
      <c r="B3084" t="str">
        <f>"9781498756525"</f>
        <v>9781498756525</v>
      </c>
      <c r="C3084">
        <v>65.45</v>
      </c>
      <c r="D3084" t="str">
        <f>"GBP"</f>
        <v>GBP</v>
      </c>
      <c r="E3084" t="str">
        <f>"2016"</f>
        <v>2016</v>
      </c>
      <c r="F3084" t="str">
        <f>"A.K. Gupta,S. Ayoob"</f>
        <v>A.K. Gupta,S. Ayoob</v>
      </c>
      <c r="G3084" t="str">
        <f>"AsarBartar"</f>
        <v>AsarBartar</v>
      </c>
    </row>
    <row r="3085" spans="1:7" x14ac:dyDescent="0.25">
      <c r="A3085" t="str">
        <f>"Fluoride Wars:How a Modest Public Health Measure Became America's Longest Running Political Melodrama"</f>
        <v>Fluoride Wars:How a Modest Public Health Measure Became America's Longest Running Political Melodrama</v>
      </c>
      <c r="B3085" t="str">
        <f>"9780470448335"</f>
        <v>9780470448335</v>
      </c>
      <c r="C3085">
        <v>29.96</v>
      </c>
      <c r="D3085" t="str">
        <f>"USD"</f>
        <v>USD</v>
      </c>
      <c r="E3085" t="str">
        <f>"2009"</f>
        <v>2009</v>
      </c>
      <c r="F3085" t="str">
        <f>"Freeze"</f>
        <v>Freeze</v>
      </c>
      <c r="G3085" t="str">
        <f>"safirketab"</f>
        <v>safirketab</v>
      </c>
    </row>
    <row r="3086" spans="1:7" x14ac:dyDescent="0.25">
      <c r="A3086" t="str">
        <f>"FOOD AND ENVIRONMENT : The Quest For A Sustainable Future, HB"</f>
        <v>FOOD AND ENVIRONMENT : The Quest For A Sustainable Future, HB</v>
      </c>
      <c r="B3086" t="str">
        <f>"9781845645540"</f>
        <v>9781845645540</v>
      </c>
      <c r="C3086">
        <v>77</v>
      </c>
      <c r="D3086" t="str">
        <f>"GBP"</f>
        <v>GBP</v>
      </c>
      <c r="E3086" t="str">
        <f>"2011"</f>
        <v>2011</v>
      </c>
      <c r="F3086" t="str">
        <f>"Popov "</f>
        <v xml:space="preserve">Popov </v>
      </c>
      <c r="G3086" t="str">
        <f>"supply"</f>
        <v>supply</v>
      </c>
    </row>
    <row r="3087" spans="1:7" x14ac:dyDescent="0.25">
      <c r="A3087" t="str">
        <f>"FOOD VERSUS FUEL : AN INFORMED INTRODUCTION TO BIOFUELS"</f>
        <v>FOOD VERSUS FUEL : AN INFORMED INTRODUCTION TO BIOFUELS</v>
      </c>
      <c r="B3087" t="str">
        <f>"9781848133839"</f>
        <v>9781848133839</v>
      </c>
      <c r="C3087">
        <v>4.49</v>
      </c>
      <c r="D3087" t="str">
        <f>"GBP"</f>
        <v>GBP</v>
      </c>
      <c r="E3087" t="str">
        <f>"2010"</f>
        <v>2010</v>
      </c>
      <c r="F3087" t="str">
        <f>"FRANCIS X. JOHNSON("</f>
        <v>FRANCIS X. JOHNSON(</v>
      </c>
      <c r="G3087" t="str">
        <f>"AsarBartar"</f>
        <v>AsarBartar</v>
      </c>
    </row>
    <row r="3088" spans="1:7" x14ac:dyDescent="0.25">
      <c r="A3088" t="str">
        <f>"Forecast Verification: A Practitioner's Guide in Atmospheric Science,2e"</f>
        <v>Forecast Verification: A Practitioner's Guide in Atmospheric Science,2e</v>
      </c>
      <c r="B3088" t="str">
        <f>"9780470660713"</f>
        <v>9780470660713</v>
      </c>
      <c r="C3088">
        <v>38</v>
      </c>
      <c r="D3088" t="str">
        <f>"USD"</f>
        <v>USD</v>
      </c>
      <c r="E3088" t="str">
        <f>"2011"</f>
        <v>2011</v>
      </c>
      <c r="F3088" t="str">
        <f>"Jolliffe"</f>
        <v>Jolliffe</v>
      </c>
      <c r="G3088" t="str">
        <f>"avanddanesh"</f>
        <v>avanddanesh</v>
      </c>
    </row>
    <row r="3089" spans="1:7" x14ac:dyDescent="0.25">
      <c r="A3089" t="str">
        <f>"Forest Insect Population Dynamics, Outbreaks, And Global Warming Effects"</f>
        <v>Forest Insect Population Dynamics, Outbreaks, And Global Warming Effects</v>
      </c>
      <c r="B3089" t="str">
        <f>"9781119406464"</f>
        <v>9781119406464</v>
      </c>
      <c r="C3089">
        <v>202.5</v>
      </c>
      <c r="D3089" t="str">
        <f>"USD"</f>
        <v>USD</v>
      </c>
      <c r="E3089" t="str">
        <f>"2017"</f>
        <v>2017</v>
      </c>
      <c r="F3089" t="str">
        <f>"Isaev"</f>
        <v>Isaev</v>
      </c>
      <c r="G3089" t="str">
        <f>"avanddanesh"</f>
        <v>avanddanesh</v>
      </c>
    </row>
    <row r="3090" spans="1:7" x14ac:dyDescent="0.25">
      <c r="A3090" t="str">
        <f>"Forest Policy, Economics, And Markets In Zambia"</f>
        <v>Forest Policy, Economics, And Markets In Zambia</v>
      </c>
      <c r="B3090" t="str">
        <f>"9780128040904"</f>
        <v>9780128040904</v>
      </c>
      <c r="C3090">
        <v>65.7</v>
      </c>
      <c r="D3090" t="str">
        <f>"USD"</f>
        <v>USD</v>
      </c>
      <c r="E3090" t="str">
        <f>"2015"</f>
        <v>2015</v>
      </c>
      <c r="F3090" t="str">
        <f>"N/A*"</f>
        <v>N/A*</v>
      </c>
      <c r="G3090" t="str">
        <f>"dehkadehketab"</f>
        <v>dehkadehketab</v>
      </c>
    </row>
    <row r="3091" spans="1:7" x14ac:dyDescent="0.25">
      <c r="A3091" t="str">
        <f>"Forest Structure, Function and Dynamics in Western Amazonia"</f>
        <v>Forest Structure, Function and Dynamics in Western Amazonia</v>
      </c>
      <c r="B3091" t="str">
        <f>"9781119090663"</f>
        <v>9781119090663</v>
      </c>
      <c r="C3091">
        <v>126</v>
      </c>
      <c r="D3091" t="str">
        <f>"USD"</f>
        <v>USD</v>
      </c>
      <c r="E3091" t="str">
        <f>"2017"</f>
        <v>2017</v>
      </c>
      <c r="F3091" t="str">
        <f>"Myster"</f>
        <v>Myster</v>
      </c>
      <c r="G3091" t="str">
        <f>"avanddanesh"</f>
        <v>avanddanesh</v>
      </c>
    </row>
    <row r="3092" spans="1:7" x14ac:dyDescent="0.25">
      <c r="A3092" t="str">
        <f>"FOREST WILDLIFE ECOLOGY AND HABITAT MANAGEMENT"</f>
        <v>FOREST WILDLIFE ECOLOGY AND HABITAT MANAGEMENT</v>
      </c>
      <c r="B3092" t="str">
        <f>"9781439837023"</f>
        <v>9781439837023</v>
      </c>
      <c r="C3092">
        <v>17.989999999999998</v>
      </c>
      <c r="D3092" t="str">
        <f>"GBP"</f>
        <v>GBP</v>
      </c>
      <c r="E3092" t="str">
        <f>"2011"</f>
        <v>2011</v>
      </c>
      <c r="F3092" t="str">
        <f>"PATTON, DAVID R."</f>
        <v>PATTON, DAVID R.</v>
      </c>
      <c r="G3092" t="str">
        <f>"AsarBartar"</f>
        <v>AsarBartar</v>
      </c>
    </row>
    <row r="3093" spans="1:7" x14ac:dyDescent="0.25">
      <c r="A3093" t="str">
        <f>"Forestry in a Global Context"</f>
        <v>Forestry in a Global Context</v>
      </c>
      <c r="B3093" t="str">
        <f>"9781780641560"</f>
        <v>9781780641560</v>
      </c>
      <c r="C3093">
        <v>109.39</v>
      </c>
      <c r="D3093" t="str">
        <f>"USD"</f>
        <v>USD</v>
      </c>
      <c r="E3093" t="str">
        <f>"2014"</f>
        <v>2014</v>
      </c>
      <c r="F3093" t="str">
        <f>"Roger Sands"</f>
        <v>Roger Sands</v>
      </c>
      <c r="G3093" t="str">
        <f>"safirketab"</f>
        <v>safirketab</v>
      </c>
    </row>
    <row r="3094" spans="1:7" x14ac:dyDescent="0.25">
      <c r="A3094" t="str">
        <f>"FORESTS FOR PEOPLE: COMMUNITY RIGHTS AND FOREST TENURE REFORM"</f>
        <v>FORESTS FOR PEOPLE: COMMUNITY RIGHTS AND FOREST TENURE REFORM</v>
      </c>
      <c r="B3094" t="str">
        <f>"9781844079186"</f>
        <v>9781844079186</v>
      </c>
      <c r="C3094">
        <v>7.48</v>
      </c>
      <c r="D3094" t="str">
        <f>"GBP"</f>
        <v>GBP</v>
      </c>
      <c r="E3094" t="str">
        <f>"2010"</f>
        <v>2010</v>
      </c>
      <c r="F3094" t="str">
        <f>"CAROL J. PIERCE COL"</f>
        <v>CAROL J. PIERCE COL</v>
      </c>
      <c r="G3094" t="str">
        <f>"AsarBartar"</f>
        <v>AsarBartar</v>
      </c>
    </row>
    <row r="3095" spans="1:7" x14ac:dyDescent="0.25">
      <c r="A3095" t="str">
        <f>"Fossil Fuel Emissions Control Technologies, Statio"</f>
        <v>Fossil Fuel Emissions Control Technologies, Statio</v>
      </c>
      <c r="B3095" t="str">
        <f>"9780128015667"</f>
        <v>9780128015667</v>
      </c>
      <c r="C3095">
        <v>117</v>
      </c>
      <c r="D3095" t="str">
        <f>"USD"</f>
        <v>USD</v>
      </c>
      <c r="E3095" t="str">
        <f>"2015"</f>
        <v>2015</v>
      </c>
      <c r="F3095" t="str">
        <f>"N/A*"</f>
        <v>N/A*</v>
      </c>
      <c r="G3095" t="str">
        <f>"dehkadehketab"</f>
        <v>dehkadehketab</v>
      </c>
    </row>
    <row r="3096" spans="1:7" x14ac:dyDescent="0.25">
      <c r="A3096" t="str">
        <f>"Framework for Dynamic Modelling of Urban Floods at Different Topographical Resolutions: UNESCO-IHE PhD Thesis"</f>
        <v>Framework for Dynamic Modelling of Urban Floods at Different Topographical Resolutions: UNESCO-IHE PhD Thesis</v>
      </c>
      <c r="B3096" t="str">
        <f>"9781138000483"</f>
        <v>9781138000483</v>
      </c>
      <c r="C3096">
        <v>27.6</v>
      </c>
      <c r="D3096" t="str">
        <f>"GBP"</f>
        <v>GBP</v>
      </c>
      <c r="E3096" t="str">
        <f>"2013"</f>
        <v>2013</v>
      </c>
      <c r="F3096" t="str">
        <f>"Solomon D. Seyoum"</f>
        <v>Solomon D. Seyoum</v>
      </c>
      <c r="G3096" t="str">
        <f>"AsarBartar"</f>
        <v>AsarBartar</v>
      </c>
    </row>
    <row r="3097" spans="1:7" x14ac:dyDescent="0.25">
      <c r="A3097" t="str">
        <f>"Freshwater Algae: Identification, Enumeration and Use as Bioindicators,2e"</f>
        <v>Freshwater Algae: Identification, Enumeration and Use as Bioindicators,2e</v>
      </c>
      <c r="B3097" t="str">
        <f>"9781118917169"</f>
        <v>9781118917169</v>
      </c>
      <c r="C3097">
        <v>72</v>
      </c>
      <c r="D3097" t="str">
        <f>"USD"</f>
        <v>USD</v>
      </c>
      <c r="E3097" t="str">
        <f>"2015"</f>
        <v>2015</v>
      </c>
      <c r="F3097" t="str">
        <f>"Bellinger"</f>
        <v>Bellinger</v>
      </c>
      <c r="G3097" t="str">
        <f>"avanddanesh"</f>
        <v>avanddanesh</v>
      </c>
    </row>
    <row r="3098" spans="1:7" x14ac:dyDescent="0.25">
      <c r="A3098" t="str">
        <f>"Freshwater Ecology, Concepts and Environmental Applications of Limnology, 2nd Edition"</f>
        <v>Freshwater Ecology, Concepts and Environmental Applications of Limnology, 2nd Edition</v>
      </c>
      <c r="B3098" t="str">
        <f>"9780128101827"</f>
        <v>9780128101827</v>
      </c>
      <c r="C3098">
        <v>89.95</v>
      </c>
      <c r="D3098" t="str">
        <f>"USD"</f>
        <v>USD</v>
      </c>
      <c r="E3098" t="str">
        <f>"2017"</f>
        <v>2017</v>
      </c>
      <c r="F3098" t="str">
        <f>"Dodds and Whiles"</f>
        <v>Dodds and Whiles</v>
      </c>
      <c r="G3098" t="str">
        <f>"dehkadehketab"</f>
        <v>dehkadehketab</v>
      </c>
    </row>
    <row r="3099" spans="1:7" x14ac:dyDescent="0.25">
      <c r="A3099" t="str">
        <f>"Freshwater Fisheries Ecology"</f>
        <v>Freshwater Fisheries Ecology</v>
      </c>
      <c r="B3099" t="str">
        <f>"9781118394427"</f>
        <v>9781118394427</v>
      </c>
      <c r="C3099">
        <v>80</v>
      </c>
      <c r="D3099" t="str">
        <f>"USD"</f>
        <v>USD</v>
      </c>
      <c r="E3099" t="str">
        <f>"2015"</f>
        <v>2015</v>
      </c>
      <c r="F3099" t="str">
        <f>"Craig"</f>
        <v>Craig</v>
      </c>
      <c r="G3099" t="str">
        <f>"avanddanesh"</f>
        <v>avanddanesh</v>
      </c>
    </row>
    <row r="3100" spans="1:7" x14ac:dyDescent="0.25">
      <c r="A3100" t="str">
        <f>"Freshwater Microplastics : Emerging Environmental Contaminants?"</f>
        <v>Freshwater Microplastics : Emerging Environmental Contaminants?</v>
      </c>
      <c r="B3100" t="str">
        <f>"9783319616148"</f>
        <v>9783319616148</v>
      </c>
      <c r="C3100">
        <v>44.99</v>
      </c>
      <c r="D3100" t="str">
        <f>"EUR"</f>
        <v>EUR</v>
      </c>
      <c r="E3100" t="str">
        <f>"2018"</f>
        <v>2018</v>
      </c>
      <c r="F3100" t="str">
        <f>"Wagner"</f>
        <v>Wagner</v>
      </c>
      <c r="G3100" t="str">
        <f>"negarestanabi"</f>
        <v>negarestanabi</v>
      </c>
    </row>
    <row r="3101" spans="1:7" x14ac:dyDescent="0.25">
      <c r="A3101" t="str">
        <f>"FROM HEADWATERS TO THE OCEAN: HYDROLOGICAL CHANGE AND W"</f>
        <v>FROM HEADWATERS TO THE OCEAN: HYDROLOGICAL CHANGE AND W</v>
      </c>
      <c r="B3101" t="str">
        <f>"9780415472791"</f>
        <v>9780415472791</v>
      </c>
      <c r="C3101">
        <v>57.3</v>
      </c>
      <c r="D3101" t="str">
        <f>"GBP"</f>
        <v>GBP</v>
      </c>
      <c r="E3101" t="str">
        <f>"2009"</f>
        <v>2009</v>
      </c>
      <c r="F3101" t="str">
        <f>"MAKOTO TANIGUCHI"</f>
        <v>MAKOTO TANIGUCHI</v>
      </c>
      <c r="G3101" t="str">
        <f>"AsarBartar"</f>
        <v>AsarBartar</v>
      </c>
    </row>
    <row r="3102" spans="1:7" x14ac:dyDescent="0.25">
      <c r="A3102" t="str">
        <f>"FRONTIERS IN FUNGAL ECOLOGY, DIVERSITY AND METABOLITES, HB"</f>
        <v>FRONTIERS IN FUNGAL ECOLOGY, DIVERSITY AND METABOLITES, HB</v>
      </c>
      <c r="B3102" t="str">
        <f>"9788189866914"</f>
        <v>9788189866914</v>
      </c>
      <c r="C3102">
        <v>27.86</v>
      </c>
      <c r="D3102" t="str">
        <f>"USD"</f>
        <v>USD</v>
      </c>
      <c r="E3102" t="str">
        <f>"2009"</f>
        <v>2009</v>
      </c>
      <c r="F3102" t="str">
        <f>"Sridhar"</f>
        <v>Sridhar</v>
      </c>
      <c r="G3102" t="str">
        <f>"supply"</f>
        <v>supply</v>
      </c>
    </row>
    <row r="3103" spans="1:7" x14ac:dyDescent="0.25">
      <c r="A3103" t="str">
        <f>"Fueling Culture : 101 Words for Energy and Environment"</f>
        <v>Fueling Culture : 101 Words for Energy and Environment</v>
      </c>
      <c r="B3103" t="str">
        <f>"9780823273911"</f>
        <v>9780823273911</v>
      </c>
      <c r="C3103">
        <v>24.3</v>
      </c>
      <c r="D3103" t="str">
        <f>"GBP"</f>
        <v>GBP</v>
      </c>
      <c r="E3103" t="str">
        <f>"2017"</f>
        <v>2017</v>
      </c>
      <c r="F3103" t="str">
        <f>"Imre Szeman, Jennife"</f>
        <v>Imre Szeman, Jennife</v>
      </c>
      <c r="G3103" t="str">
        <f>"arzinbooks"</f>
        <v>arzinbooks</v>
      </c>
    </row>
    <row r="3104" spans="1:7" x14ac:dyDescent="0.25">
      <c r="A3104" t="str">
        <f>"Fundamentals and Application of Rock Mechanics"</f>
        <v>Fundamentals and Application of Rock Mechanics</v>
      </c>
      <c r="B3104" t="str">
        <f>"9788120351820"</f>
        <v>9788120351820</v>
      </c>
      <c r="C3104">
        <v>17</v>
      </c>
      <c r="D3104" t="str">
        <f>"USD"</f>
        <v>USD</v>
      </c>
      <c r="E3104" t="str">
        <f>"2016"</f>
        <v>2016</v>
      </c>
      <c r="F3104" t="str">
        <f>"Deb"</f>
        <v>Deb</v>
      </c>
      <c r="G3104" t="str">
        <f>"safirketab"</f>
        <v>safirketab</v>
      </c>
    </row>
    <row r="3105" spans="1:7" x14ac:dyDescent="0.25">
      <c r="A3105" t="str">
        <f>"Fundamentals and Applications of Supercritical Carbon Dioxide (SCO2) Based Power Cycles"</f>
        <v>Fundamentals and Applications of Supercritical Carbon Dioxide (SCO2) Based Power Cycles</v>
      </c>
      <c r="B3105" t="str">
        <f>"9780081007938"</f>
        <v>9780081007938</v>
      </c>
      <c r="C3105">
        <v>238.5</v>
      </c>
      <c r="D3105" t="str">
        <f>"USD"</f>
        <v>USD</v>
      </c>
      <c r="E3105" t="str">
        <f>"2017"</f>
        <v>2017</v>
      </c>
      <c r="F3105" t="str">
        <f>"Brun et al"</f>
        <v>Brun et al</v>
      </c>
      <c r="G3105" t="str">
        <f>"dehkadehketab"</f>
        <v>dehkadehketab</v>
      </c>
    </row>
    <row r="3106" spans="1:7" x14ac:dyDescent="0.25">
      <c r="A3106" t="str">
        <f>"Fundamentals of Air Pollution, 5th Edition"</f>
        <v>Fundamentals of Air Pollution, 5th Edition</v>
      </c>
      <c r="B3106" t="str">
        <f>"9780128099940"</f>
        <v>9780128099940</v>
      </c>
      <c r="C3106">
        <v>108</v>
      </c>
      <c r="D3106" t="str">
        <f>"USD"</f>
        <v>USD</v>
      </c>
      <c r="E3106" t="str">
        <f>"2017"</f>
        <v>2017</v>
      </c>
      <c r="F3106" t="str">
        <f>"Vallero"</f>
        <v>Vallero</v>
      </c>
      <c r="G3106" t="str">
        <f>"dehkadehketab"</f>
        <v>dehkadehketab</v>
      </c>
    </row>
    <row r="3107" spans="1:7" x14ac:dyDescent="0.25">
      <c r="A3107" t="str">
        <f>"Fundamentals of Air Pollution, 5th Edition"</f>
        <v>Fundamentals of Air Pollution, 5th Edition</v>
      </c>
      <c r="B3107" t="str">
        <f>"9780128099957"</f>
        <v>9780128099957</v>
      </c>
      <c r="C3107">
        <v>108</v>
      </c>
      <c r="D3107" t="str">
        <f>"USD"</f>
        <v>USD</v>
      </c>
      <c r="E3107" t="str">
        <f>"2017"</f>
        <v>2017</v>
      </c>
      <c r="F3107" t="str">
        <f>"Vallero"</f>
        <v>Vallero</v>
      </c>
      <c r="G3107" t="str">
        <f>"arang"</f>
        <v>arang</v>
      </c>
    </row>
    <row r="3108" spans="1:7" x14ac:dyDescent="0.25">
      <c r="A3108" t="str">
        <f>"Fundamentals Of Ecology, HB"</f>
        <v>Fundamentals Of Ecology, HB</v>
      </c>
      <c r="B3108" t="str">
        <f>"9788131303429"</f>
        <v>9788131303429</v>
      </c>
      <c r="C3108">
        <v>22.47</v>
      </c>
      <c r="D3108" t="str">
        <f>"USD"</f>
        <v>USD</v>
      </c>
      <c r="E3108" t="str">
        <f>"2008"</f>
        <v>2008</v>
      </c>
      <c r="F3108" t="str">
        <f>"Agarwal"</f>
        <v>Agarwal</v>
      </c>
      <c r="G3108" t="str">
        <f>"supply"</f>
        <v>supply</v>
      </c>
    </row>
    <row r="3109" spans="1:7" x14ac:dyDescent="0.25">
      <c r="A3109" t="str">
        <f>"Fundamentals of Geomorphology (Routledge Fundamentals of Physical Geography)"</f>
        <v>Fundamentals of Geomorphology (Routledge Fundamentals of Physical Geography)</v>
      </c>
      <c r="B3109" t="str">
        <f>"9781138940659"</f>
        <v>9781138940659</v>
      </c>
      <c r="C3109">
        <v>34</v>
      </c>
      <c r="D3109" t="str">
        <f>"GBP"</f>
        <v>GBP</v>
      </c>
      <c r="E3109" t="str">
        <f>"2016"</f>
        <v>2016</v>
      </c>
      <c r="F3109" t="str">
        <f>"Richard John Hugget"</f>
        <v>Richard John Hugget</v>
      </c>
      <c r="G3109" t="str">
        <f>"AsarBartar"</f>
        <v>AsarBartar</v>
      </c>
    </row>
    <row r="3110" spans="1:7" x14ac:dyDescent="0.25">
      <c r="A3110" t="str">
        <f>"Fundamentals of Soil Ecology, 3rd Edition"</f>
        <v>Fundamentals of Soil Ecology, 3rd Edition</v>
      </c>
      <c r="B3110" t="str">
        <f>"9780128052518"</f>
        <v>9780128052518</v>
      </c>
      <c r="C3110">
        <v>89.95</v>
      </c>
      <c r="D3110" t="str">
        <f>"USD"</f>
        <v>USD</v>
      </c>
      <c r="E3110" t="str">
        <f>"2017"</f>
        <v>2017</v>
      </c>
      <c r="F3110" t="str">
        <f>"Coleman et al"</f>
        <v>Coleman et al</v>
      </c>
      <c r="G3110" t="str">
        <f>"arang"</f>
        <v>arang</v>
      </c>
    </row>
    <row r="3111" spans="1:7" x14ac:dyDescent="0.25">
      <c r="A3111" t="str">
        <f>"Fundamentals of Soil Physics"</f>
        <v>Fundamentals of Soil Physics</v>
      </c>
      <c r="B3111" t="str">
        <f>"9781493300624"</f>
        <v>9781493300624</v>
      </c>
      <c r="C3111">
        <v>65.650000000000006</v>
      </c>
      <c r="D3111" t="str">
        <f>"USD"</f>
        <v>USD</v>
      </c>
      <c r="E3111" t="str">
        <f>"2014"</f>
        <v>2014</v>
      </c>
      <c r="F3111" t="str">
        <f>"Hillel"</f>
        <v>Hillel</v>
      </c>
      <c r="G3111" t="str">
        <f>"arang"</f>
        <v>arang</v>
      </c>
    </row>
    <row r="3112" spans="1:7" x14ac:dyDescent="0.25">
      <c r="A3112" t="str">
        <f>"Fundamentals of Water Finance"</f>
        <v>Fundamentals of Water Finance</v>
      </c>
      <c r="B3112" t="str">
        <f>"9781498734172"</f>
        <v>9781498734172</v>
      </c>
      <c r="C3112">
        <v>49.3</v>
      </c>
      <c r="D3112" t="str">
        <f>"GBP"</f>
        <v>GBP</v>
      </c>
      <c r="E3112" t="str">
        <f>"2016"</f>
        <v>2016</v>
      </c>
      <c r="F3112" t="str">
        <f>"Michael Curley"</f>
        <v>Michael Curley</v>
      </c>
      <c r="G3112" t="str">
        <f>"AsarBartar"</f>
        <v>AsarBartar</v>
      </c>
    </row>
    <row r="3113" spans="1:7" x14ac:dyDescent="0.25">
      <c r="A3113" t="str">
        <f>"Fungi: Biology and Applications,3e"</f>
        <v>Fungi: Biology and Applications,3e</v>
      </c>
      <c r="B3113" t="str">
        <f>"9781119374329"</f>
        <v>9781119374329</v>
      </c>
      <c r="C3113">
        <v>117</v>
      </c>
      <c r="D3113" t="str">
        <f>"USD"</f>
        <v>USD</v>
      </c>
      <c r="E3113" t="str">
        <f>"2017"</f>
        <v>2017</v>
      </c>
      <c r="F3113" t="str">
        <f>"Kavanagh"</f>
        <v>Kavanagh</v>
      </c>
      <c r="G3113" t="str">
        <f>"avanddanesh"</f>
        <v>avanddanesh</v>
      </c>
    </row>
    <row r="3114" spans="1:7" x14ac:dyDescent="0.25">
      <c r="A3114" t="str">
        <f>"Future of Animal Farming"</f>
        <v>Future of Animal Farming</v>
      </c>
      <c r="B3114" t="str">
        <f>"9781405177825"</f>
        <v>9781405177825</v>
      </c>
      <c r="C3114">
        <v>23.97</v>
      </c>
      <c r="D3114" t="str">
        <f>"USD"</f>
        <v>USD</v>
      </c>
      <c r="E3114" t="str">
        <f>"2008"</f>
        <v>2008</v>
      </c>
      <c r="F3114" t="str">
        <f>"Dawkins"</f>
        <v>Dawkins</v>
      </c>
      <c r="G3114" t="str">
        <f>"safirketab"</f>
        <v>safirketab</v>
      </c>
    </row>
    <row r="3115" spans="1:7" x14ac:dyDescent="0.25">
      <c r="A3115" t="str">
        <f>"Fuzzy Control in Environmental Engineering"</f>
        <v>Fuzzy Control in Environmental Engineering</v>
      </c>
      <c r="B3115" t="str">
        <f>"9783319370293"</f>
        <v>9783319370293</v>
      </c>
      <c r="C3115">
        <v>92.51</v>
      </c>
      <c r="D3115" t="str">
        <f>"EUR"</f>
        <v>EUR</v>
      </c>
      <c r="E3115" t="str">
        <f>"2016"</f>
        <v>2016</v>
      </c>
      <c r="F3115" t="str">
        <f>"Chmielowski"</f>
        <v>Chmielowski</v>
      </c>
      <c r="G3115" t="str">
        <f>"negarestanabi"</f>
        <v>negarestanabi</v>
      </c>
    </row>
    <row r="3116" spans="1:7" x14ac:dyDescent="0.25">
      <c r="A3116" t="str">
        <f>"Galapagos: A Natural Laboratory for Earth Sciences"</f>
        <v>Galapagos: A Natural Laboratory for Earth Sciences</v>
      </c>
      <c r="B3116" t="str">
        <f>"9781118852415"</f>
        <v>9781118852415</v>
      </c>
      <c r="C3116">
        <v>116.2</v>
      </c>
      <c r="D3116" t="str">
        <f>"USD"</f>
        <v>USD</v>
      </c>
      <c r="E3116" t="str">
        <f>"2014"</f>
        <v>2014</v>
      </c>
      <c r="F3116" t="str">
        <f>"Harpp"</f>
        <v>Harpp</v>
      </c>
      <c r="G3116" t="str">
        <f>"avanddanesh"</f>
        <v>avanddanesh</v>
      </c>
    </row>
    <row r="3117" spans="1:7" x14ac:dyDescent="0.25">
      <c r="A3117" t="str">
        <f>"Gender and Forests: Climate Change, Tenure, Value Chains and Emerging Issues (The Earthscan Forest Library)"</f>
        <v>Gender and Forests: Climate Change, Tenure, Value Chains and Emerging Issues (The Earthscan Forest Library)</v>
      </c>
      <c r="B3117" t="str">
        <f>"9781138955042"</f>
        <v>9781138955042</v>
      </c>
      <c r="C3117">
        <v>25.5</v>
      </c>
      <c r="D3117" t="str">
        <f>"GBP"</f>
        <v>GBP</v>
      </c>
      <c r="E3117" t="str">
        <f>"2016"</f>
        <v>2016</v>
      </c>
      <c r="F3117" t="str">
        <f>"Carol J. Pierce Col"</f>
        <v>Carol J. Pierce Col</v>
      </c>
      <c r="G3117" t="str">
        <f>"AsarBartar"</f>
        <v>AsarBartar</v>
      </c>
    </row>
    <row r="3118" spans="1:7" x14ac:dyDescent="0.25">
      <c r="A3118" t="str">
        <f>"Gender and Rural Globalization"</f>
        <v>Gender and Rural Globalization</v>
      </c>
      <c r="B3118" t="str">
        <f>"9781780646251"</f>
        <v>9781780646251</v>
      </c>
      <c r="C3118">
        <v>85.5</v>
      </c>
      <c r="D3118" t="str">
        <f>"GBP"</f>
        <v>GBP</v>
      </c>
      <c r="E3118" t="str">
        <f>"2017"</f>
        <v>2017</v>
      </c>
      <c r="F3118" t="str">
        <f>"Bettina Bock,Sally"</f>
        <v>Bettina Bock,Sally</v>
      </c>
      <c r="G3118" t="str">
        <f>"AsarBartar"</f>
        <v>AsarBartar</v>
      </c>
    </row>
    <row r="3119" spans="1:7" x14ac:dyDescent="0.25">
      <c r="A3119" t="str">
        <f>"Gender and the Environment"</f>
        <v>Gender and the Environment</v>
      </c>
      <c r="B3119" t="str">
        <f>"9780745663838"</f>
        <v>9780745663838</v>
      </c>
      <c r="C3119">
        <v>19.5</v>
      </c>
      <c r="D3119" t="str">
        <f>"USD"</f>
        <v>USD</v>
      </c>
      <c r="E3119" t="str">
        <f>"2016"</f>
        <v>2016</v>
      </c>
      <c r="F3119" t="str">
        <f>"Detraz"</f>
        <v>Detraz</v>
      </c>
      <c r="G3119" t="str">
        <f>"avanddanesh"</f>
        <v>avanddanesh</v>
      </c>
    </row>
    <row r="3120" spans="1:7" x14ac:dyDescent="0.25">
      <c r="A3120" t="str">
        <f>"Genotype-by-Environment Interactions and Sexual Selection"</f>
        <v>Genotype-by-Environment Interactions and Sexual Selection</v>
      </c>
      <c r="B3120" t="str">
        <f>"9780470671795"</f>
        <v>9780470671795</v>
      </c>
      <c r="C3120">
        <v>78.8</v>
      </c>
      <c r="D3120" t="str">
        <f>"USD"</f>
        <v>USD</v>
      </c>
      <c r="E3120" t="str">
        <f>"2014"</f>
        <v>2014</v>
      </c>
      <c r="F3120" t="str">
        <f>"Hunt"</f>
        <v>Hunt</v>
      </c>
      <c r="G3120" t="str">
        <f>"avanddanesh"</f>
        <v>avanddanesh</v>
      </c>
    </row>
    <row r="3121" spans="1:7" x14ac:dyDescent="0.25">
      <c r="A3121" t="str">
        <f>"Geodiversity: Valuing and Conserving Abiotic Nature,2e"</f>
        <v>Geodiversity: Valuing and Conserving Abiotic Nature,2e</v>
      </c>
      <c r="B3121" t="str">
        <f>"9780470742150"</f>
        <v>9780470742150</v>
      </c>
      <c r="C3121">
        <v>35.799999999999997</v>
      </c>
      <c r="D3121" t="str">
        <f>"USD"</f>
        <v>USD</v>
      </c>
      <c r="E3121" t="str">
        <f>"2013"</f>
        <v>2013</v>
      </c>
      <c r="F3121" t="str">
        <f>"Gray"</f>
        <v>Gray</v>
      </c>
      <c r="G3121" t="str">
        <f>"avanddanesh"</f>
        <v>avanddanesh</v>
      </c>
    </row>
    <row r="3122" spans="1:7" x14ac:dyDescent="0.25">
      <c r="A3122" t="str">
        <f>"GEO-ENVIRONMENT AND LANDSCAPE EVOLUTION III : Evolution, Monitoring, Simulation, Management And Remediation Of The Geological Environment And Landscape, HB"</f>
        <v>GEO-ENVIRONMENT AND LANDSCAPE EVOLUTION III : Evolution, Monitoring, Simulation, Management And Remediation Of The Geological Environment And Landscape, HB</v>
      </c>
      <c r="B3122" t="str">
        <f>"9781845641177"</f>
        <v>9781845641177</v>
      </c>
      <c r="C3122">
        <v>71.400000000000006</v>
      </c>
      <c r="D3122" t="str">
        <f>"GBP"</f>
        <v>GBP</v>
      </c>
      <c r="E3122" t="str">
        <f>"2008"</f>
        <v>2008</v>
      </c>
      <c r="F3122" t="str">
        <f>"Mander"</f>
        <v>Mander</v>
      </c>
      <c r="G3122" t="str">
        <f>"supply"</f>
        <v>supply</v>
      </c>
    </row>
    <row r="3123" spans="1:7" x14ac:dyDescent="0.25">
      <c r="A3123" t="str">
        <f>"GEOGRAPHY AND GEOPOLITICS    "</f>
        <v xml:space="preserve">GEOGRAPHY AND GEOPOLITICS    </v>
      </c>
      <c r="B3123" t="str">
        <f>"9789350530023"</f>
        <v>9789350530023</v>
      </c>
      <c r="C3123">
        <v>17.5</v>
      </c>
      <c r="D3123" t="str">
        <f>"USD"</f>
        <v>USD</v>
      </c>
      <c r="E3123" t="str">
        <f>"2012"</f>
        <v>2012</v>
      </c>
      <c r="F3123" t="str">
        <f>"A Ansari"</f>
        <v>A Ansari</v>
      </c>
      <c r="G3123" t="str">
        <f>"supply"</f>
        <v>supply</v>
      </c>
    </row>
    <row r="3124" spans="1:7" x14ac:dyDescent="0.25">
      <c r="A3124" t="str">
        <f>"Geography Of Water Resources, HB"</f>
        <v>Geography Of Water Resources, HB</v>
      </c>
      <c r="B3124" t="str">
        <f>"9788131601839"</f>
        <v>9788131601839</v>
      </c>
      <c r="C3124">
        <v>18.760000000000002</v>
      </c>
      <c r="D3124" t="str">
        <f>"USD"</f>
        <v>USD</v>
      </c>
      <c r="E3124" t="str">
        <f>"2008"</f>
        <v>2008</v>
      </c>
      <c r="F3124" t="str">
        <f>"Gurjar"</f>
        <v>Gurjar</v>
      </c>
      <c r="G3124" t="str">
        <f>"supply"</f>
        <v>supply</v>
      </c>
    </row>
    <row r="3125" spans="1:7" x14ac:dyDescent="0.25">
      <c r="A3125" t="str">
        <f>"Geological Repository Systems for Safe Disposal of Spent Nuclear Fuels and Radioactive Waste"</f>
        <v>Geological Repository Systems for Safe Disposal of Spent Nuclear Fuels and Radioactive Waste</v>
      </c>
      <c r="B3125" t="str">
        <f>"9780081006375"</f>
        <v>9780081006375</v>
      </c>
      <c r="C3125">
        <v>328.5</v>
      </c>
      <c r="D3125" t="str">
        <f>"USD"</f>
        <v>USD</v>
      </c>
      <c r="E3125" t="str">
        <f>"2017"</f>
        <v>2017</v>
      </c>
      <c r="F3125" t="str">
        <f>"Apted, Michael J"</f>
        <v>Apted, Michael J</v>
      </c>
      <c r="G3125" t="str">
        <f>"dehkadehketab"</f>
        <v>dehkadehketab</v>
      </c>
    </row>
    <row r="3126" spans="1:7" x14ac:dyDescent="0.25">
      <c r="A3126" t="str">
        <f>"Geologically Storing Carbon: Learning from the Otway Project Experience"</f>
        <v>Geologically Storing Carbon: Learning from the Otway Project Experience</v>
      </c>
      <c r="B3126" t="str">
        <f>"9781118986189"</f>
        <v>9781118986189</v>
      </c>
      <c r="C3126">
        <v>82.5</v>
      </c>
      <c r="D3126" t="str">
        <f>"USD"</f>
        <v>USD</v>
      </c>
      <c r="E3126" t="str">
        <f>"2014"</f>
        <v>2014</v>
      </c>
      <c r="F3126" t="str">
        <f>"Cook"</f>
        <v>Cook</v>
      </c>
      <c r="G3126" t="str">
        <f>"avanddanesh"</f>
        <v>avanddanesh</v>
      </c>
    </row>
    <row r="3127" spans="1:7" x14ac:dyDescent="0.25">
      <c r="A3127" t="str">
        <f>"Geoparks and Geo-Tourism in Iran"</f>
        <v>Geoparks and Geo-Tourism in Iran</v>
      </c>
      <c r="B3127" t="str">
        <f>"9783631644560"</f>
        <v>9783631644560</v>
      </c>
      <c r="C3127">
        <v>47.65</v>
      </c>
      <c r="D3127" t="str">
        <f>"USD"</f>
        <v>USD</v>
      </c>
      <c r="E3127" t="str">
        <f>"2017"</f>
        <v>2017</v>
      </c>
      <c r="F3127" t="str">
        <f>"Dittmann, Geoparks a"</f>
        <v>Dittmann, Geoparks a</v>
      </c>
      <c r="G3127" t="str">
        <f>"dehkadehketab"</f>
        <v>dehkadehketab</v>
      </c>
    </row>
    <row r="3128" spans="1:7" x14ac:dyDescent="0.25">
      <c r="A3128" t="str">
        <f>"Geoscientists at Crime Scenes: A Companion to Forensic Geoscience"</f>
        <v>Geoscientists at Crime Scenes: A Companion to Forensic Geoscience</v>
      </c>
      <c r="B3128" t="str">
        <f>"9783319580470"</f>
        <v>9783319580470</v>
      </c>
      <c r="C3128">
        <v>107.99</v>
      </c>
      <c r="D3128" t="str">
        <f>"EUR"</f>
        <v>EUR</v>
      </c>
      <c r="E3128" t="str">
        <f>"2017"</f>
        <v>2017</v>
      </c>
      <c r="F3128" t="str">
        <f>"Di Maggio"</f>
        <v>Di Maggio</v>
      </c>
      <c r="G3128" t="str">
        <f>"negarestanabi"</f>
        <v>negarestanabi</v>
      </c>
    </row>
    <row r="3129" spans="1:7" x14ac:dyDescent="0.25">
      <c r="A3129" t="str">
        <f>"Giraffe: Biology, Ecology, Evolution and Behaviour"</f>
        <v>Giraffe: Biology, Ecology, Evolution and Behaviour</v>
      </c>
      <c r="B3129" t="str">
        <f>"9781118587478"</f>
        <v>9781118587478</v>
      </c>
      <c r="C3129">
        <v>59.5</v>
      </c>
      <c r="D3129" t="str">
        <f>"USD"</f>
        <v>USD</v>
      </c>
      <c r="E3129" t="str">
        <f>"2016"</f>
        <v>2016</v>
      </c>
      <c r="F3129" t="str">
        <f>"Shorrocks"</f>
        <v>Shorrocks</v>
      </c>
      <c r="G3129" t="str">
        <f>"avanddanesh"</f>
        <v>avanddanesh</v>
      </c>
    </row>
    <row r="3130" spans="1:7" x14ac:dyDescent="0.25">
      <c r="A3130" t="str">
        <f>"GIS and Geocomputation for Water Resource Science and Engineering"</f>
        <v>GIS and Geocomputation for Water Resource Science and Engineering</v>
      </c>
      <c r="B3130" t="str">
        <f>"9781118354131"</f>
        <v>9781118354131</v>
      </c>
      <c r="C3130">
        <v>59.5</v>
      </c>
      <c r="D3130" t="str">
        <f>"USD"</f>
        <v>USD</v>
      </c>
      <c r="E3130" t="str">
        <f>"2016"</f>
        <v>2016</v>
      </c>
      <c r="F3130" t="str">
        <f>"Dixon"</f>
        <v>Dixon</v>
      </c>
      <c r="G3130" t="str">
        <f>"avanddanesh"</f>
        <v>avanddanesh</v>
      </c>
    </row>
    <row r="3131" spans="1:7" x14ac:dyDescent="0.25">
      <c r="A3131" t="str">
        <f>"GIS Based Chemical Fate Modeling: Principles and Applications"</f>
        <v>GIS Based Chemical Fate Modeling: Principles and Applications</v>
      </c>
      <c r="B3131" t="str">
        <f>"9781118059975"</f>
        <v>9781118059975</v>
      </c>
      <c r="C3131">
        <v>120</v>
      </c>
      <c r="D3131" t="str">
        <f>"USD"</f>
        <v>USD</v>
      </c>
      <c r="E3131" t="str">
        <f>"2014"</f>
        <v>2014</v>
      </c>
      <c r="F3131" t="str">
        <f>"Pistocchi"</f>
        <v>Pistocchi</v>
      </c>
      <c r="G3131" t="str">
        <f>"avanddanesh"</f>
        <v>avanddanesh</v>
      </c>
    </row>
    <row r="3132" spans="1:7" x14ac:dyDescent="0.25">
      <c r="A3132" t="str">
        <f>"Glacier Science and Environmental Change"</f>
        <v>Glacier Science and Environmental Change</v>
      </c>
      <c r="B3132" t="str">
        <f>"9781405196536"</f>
        <v>9781405196536</v>
      </c>
      <c r="C3132">
        <v>50.39</v>
      </c>
      <c r="D3132" t="str">
        <f>"USD"</f>
        <v>USD</v>
      </c>
      <c r="E3132" t="str">
        <f>"2009"</f>
        <v>2009</v>
      </c>
      <c r="F3132" t="str">
        <f>"Knight"</f>
        <v>Knight</v>
      </c>
      <c r="G3132" t="str">
        <f>"safirketab"</f>
        <v>safirketab</v>
      </c>
    </row>
    <row r="3133" spans="1:7" x14ac:dyDescent="0.25">
      <c r="A3133" t="str">
        <f>"GLOBAL ARSENIC PROBLEM: CHALLENGES FOR SAFE WATER PRODU"</f>
        <v>GLOBAL ARSENIC PROBLEM: CHALLENGES FOR SAFE WATER PRODU</v>
      </c>
      <c r="B3133" t="str">
        <f>"9780415575218"</f>
        <v>9780415575218</v>
      </c>
      <c r="C3133">
        <v>20.09</v>
      </c>
      <c r="D3133" t="str">
        <f>"GBP"</f>
        <v>GBP</v>
      </c>
      <c r="E3133" t="str">
        <f>"2010"</f>
        <v>2010</v>
      </c>
      <c r="F3133" t="str">
        <f>"SUER ANAC(EDITOR)"</f>
        <v>SUER ANAC(EDITOR)</v>
      </c>
      <c r="G3133" t="str">
        <f>"AsarBartar"</f>
        <v>AsarBartar</v>
      </c>
    </row>
    <row r="3134" spans="1:7" x14ac:dyDescent="0.25">
      <c r="A3134" t="str">
        <f>"Global Change, Ecosystems, Sustainability : Theory, Methods, Practice"</f>
        <v>Global Change, Ecosystems, Sustainability : Theory, Methods, Practice</v>
      </c>
      <c r="B3134" t="str">
        <f>"9789386446466"</f>
        <v>9789386446466</v>
      </c>
      <c r="C3134">
        <v>40.700000000000003</v>
      </c>
      <c r="D3134" t="str">
        <f>"GBP"</f>
        <v>GBP</v>
      </c>
      <c r="E3134" t="str">
        <f>"2017"</f>
        <v>2017</v>
      </c>
      <c r="F3134" t="str">
        <f>"Mukhopadhyay Pranab "</f>
        <v xml:space="preserve">Mukhopadhyay Pranab </v>
      </c>
      <c r="G3134" t="str">
        <f>"arzinbooks"</f>
        <v>arzinbooks</v>
      </c>
    </row>
    <row r="3135" spans="1:7" x14ac:dyDescent="0.25">
      <c r="A3135" t="str">
        <f>"Global Cities and Urban Theory"</f>
        <v>Global Cities and Urban Theory</v>
      </c>
      <c r="B3135" t="str">
        <f>"9781446267066"</f>
        <v>9781446267066</v>
      </c>
      <c r="C3135">
        <v>63.75</v>
      </c>
      <c r="D3135" t="str">
        <f>"GBP"</f>
        <v>GBP</v>
      </c>
      <c r="E3135" t="str">
        <f>"2016"</f>
        <v>2016</v>
      </c>
      <c r="F3135" t="str">
        <f>"Donald McNeill"</f>
        <v>Donald McNeill</v>
      </c>
      <c r="G3135" t="str">
        <f>"kowkab"</f>
        <v>kowkab</v>
      </c>
    </row>
    <row r="3136" spans="1:7" x14ac:dyDescent="0.25">
      <c r="A3136" t="str">
        <f>"Global Climate Change and Terrestrial Invertebrates"</f>
        <v>Global Climate Change and Terrestrial Invertebrates</v>
      </c>
      <c r="B3136" t="str">
        <f>"9781119070900"</f>
        <v>9781119070900</v>
      </c>
      <c r="C3136">
        <v>99</v>
      </c>
      <c r="D3136" t="str">
        <f>"USD"</f>
        <v>USD</v>
      </c>
      <c r="E3136" t="str">
        <f>"2017"</f>
        <v>2017</v>
      </c>
      <c r="F3136" t="str">
        <f>"Johnson"</f>
        <v>Johnson</v>
      </c>
      <c r="G3136" t="str">
        <f>"avanddanesh"</f>
        <v>avanddanesh</v>
      </c>
    </row>
    <row r="3137" spans="1:7" x14ac:dyDescent="0.25">
      <c r="A3137" t="str">
        <f>"GLOBAL CONTAMINATION TRENDS OF PERS"</f>
        <v>GLOBAL CONTAMINATION TRENDS OF PERS</v>
      </c>
      <c r="B3137" t="str">
        <f>"9781439838303"</f>
        <v>9781439838303</v>
      </c>
      <c r="C3137">
        <v>82.8</v>
      </c>
      <c r="D3137" t="str">
        <f>"GBP"</f>
        <v>GBP</v>
      </c>
      <c r="E3137" t="str">
        <f>"2012"</f>
        <v>2012</v>
      </c>
      <c r="F3137" t="str">
        <f>"PAUL KWAN-SING LAM("</f>
        <v>PAUL KWAN-SING LAM(</v>
      </c>
      <c r="G3137" t="str">
        <f>"AsarBartar"</f>
        <v>AsarBartar</v>
      </c>
    </row>
    <row r="3138" spans="1:7" x14ac:dyDescent="0.25">
      <c r="A3138" t="str">
        <f>"GLOBAL ENVIRONMENTAL FOREST POLICIES: AN INTERNATIONAL COMPARISON"</f>
        <v>GLOBAL ENVIRONMENTAL FOREST POLICIES: AN INTERNATIONAL COMPARISON</v>
      </c>
      <c r="B3138" t="str">
        <f>"9781844075904"</f>
        <v>9781844075904</v>
      </c>
      <c r="C3138">
        <v>18</v>
      </c>
      <c r="D3138" t="str">
        <f>"GBP"</f>
        <v>GBP</v>
      </c>
      <c r="E3138" t="str">
        <f>"2010"</f>
        <v>2010</v>
      </c>
      <c r="F3138" t="str">
        <f>"PETER KANOWSKI"</f>
        <v>PETER KANOWSKI</v>
      </c>
      <c r="G3138" t="str">
        <f>"AsarBartar"</f>
        <v>AsarBartar</v>
      </c>
    </row>
    <row r="3139" spans="1:7" x14ac:dyDescent="0.25">
      <c r="A3139" t="str">
        <f>"Global Environmental Governance, Technology and Politics: The Anthropocene Gap"</f>
        <v>Global Environmental Governance, Technology and Politics: The Anthropocene Gap</v>
      </c>
      <c r="B3139" t="str">
        <f>"9781783478910"</f>
        <v>9781783478910</v>
      </c>
      <c r="C3139">
        <v>17</v>
      </c>
      <c r="D3139" t="str">
        <f>"GBP"</f>
        <v>GBP</v>
      </c>
      <c r="E3139" t="str">
        <f>"2015"</f>
        <v>2015</v>
      </c>
      <c r="F3139" t="str">
        <f>"Victor Galaz"</f>
        <v>Victor Galaz</v>
      </c>
      <c r="G3139" t="str">
        <f>"AsarBartar"</f>
        <v>AsarBartar</v>
      </c>
    </row>
    <row r="3140" spans="1:7" x14ac:dyDescent="0.25">
      <c r="A3140" t="str">
        <f>"Global Forest Fragmentation"</f>
        <v>Global Forest Fragmentation</v>
      </c>
      <c r="B3140" t="str">
        <f>"9781780642031"</f>
        <v>9781780642031</v>
      </c>
      <c r="C3140">
        <v>91.16</v>
      </c>
      <c r="D3140" t="str">
        <f>"USD"</f>
        <v>USD</v>
      </c>
      <c r="E3140" t="str">
        <f>"2015"</f>
        <v>2015</v>
      </c>
      <c r="F3140" t="str">
        <f>"C Kettle, L P Koh"</f>
        <v>C Kettle, L P Koh</v>
      </c>
      <c r="G3140" t="str">
        <f>"safirketab"</f>
        <v>safirketab</v>
      </c>
    </row>
    <row r="3141" spans="1:7" x14ac:dyDescent="0.25">
      <c r="A3141" t="str">
        <f>"GLOBAL GROUNDWATER RESOURCES &amp; MANAGEMENT, HB"</f>
        <v>GLOBAL GROUNDWATER RESOURCES &amp; MANAGEMENT, HB</v>
      </c>
      <c r="B3141" t="str">
        <f>"9788172336196"</f>
        <v>9788172336196</v>
      </c>
      <c r="C3141">
        <v>54.6</v>
      </c>
      <c r="D3141" t="str">
        <f>"USD"</f>
        <v>USD</v>
      </c>
      <c r="E3141" t="str">
        <f>"2010"</f>
        <v>2010</v>
      </c>
      <c r="F3141" t="str">
        <f>"Paliwal"</f>
        <v>Paliwal</v>
      </c>
      <c r="G3141" t="str">
        <f>"supply"</f>
        <v>supply</v>
      </c>
    </row>
    <row r="3142" spans="1:7" x14ac:dyDescent="0.25">
      <c r="A3142" t="str">
        <f>"Global Maritime Transport and Ballast Water Management: Issues and Solutions"</f>
        <v>Global Maritime Transport and Ballast Water Management: Issues and Solutions</v>
      </c>
      <c r="B3142" t="str">
        <f>"9789401793667"</f>
        <v>9789401793667</v>
      </c>
      <c r="C3142">
        <v>116.99</v>
      </c>
      <c r="D3142" t="str">
        <f>"EUR"</f>
        <v>EUR</v>
      </c>
      <c r="E3142" t="str">
        <f>"2015"</f>
        <v>2015</v>
      </c>
      <c r="F3142" t="str">
        <f>"David"</f>
        <v>David</v>
      </c>
      <c r="G3142" t="str">
        <f>"negarestanabi"</f>
        <v>negarestanabi</v>
      </c>
    </row>
    <row r="3143" spans="1:7" x14ac:dyDescent="0.25">
      <c r="A3143" t="str">
        <f>"GLOBAL POLITICAL ECOLOGY"</f>
        <v>GLOBAL POLITICAL ECOLOGY</v>
      </c>
      <c r="B3143" t="str">
        <f>"9780415548151"</f>
        <v>9780415548151</v>
      </c>
      <c r="C3143">
        <v>8.09</v>
      </c>
      <c r="D3143" t="str">
        <f>"GBP"</f>
        <v>GBP</v>
      </c>
      <c r="E3143" t="str">
        <f>"2011"</f>
        <v>2011</v>
      </c>
      <c r="F3143" t="str">
        <f>"RICHARD PEET"</f>
        <v>RICHARD PEET</v>
      </c>
      <c r="G3143" t="str">
        <f>"AsarBartar"</f>
        <v>AsarBartar</v>
      </c>
    </row>
    <row r="3144" spans="1:7" x14ac:dyDescent="0.25">
      <c r="A3144" t="str">
        <f>"Global Sustainability: The Impact of Local Cultures, A New Perspective for Science and Engineering, Economics and Politics"</f>
        <v>Global Sustainability: The Impact of Local Cultures, A New Perspective for Science and Engineering, Economics and Politics</v>
      </c>
      <c r="B3144" t="str">
        <f>"9783527312368"</f>
        <v>9783527312368</v>
      </c>
      <c r="C3144">
        <v>93.6</v>
      </c>
      <c r="D3144" t="str">
        <f>"USD"</f>
        <v>USD</v>
      </c>
      <c r="E3144" t="str">
        <f>"2004"</f>
        <v>2004</v>
      </c>
      <c r="F3144" t="str">
        <f>"Wilderer"</f>
        <v>Wilderer</v>
      </c>
      <c r="G3144" t="str">
        <f>"avanddanesh"</f>
        <v>avanddanesh</v>
      </c>
    </row>
    <row r="3145" spans="1:7" x14ac:dyDescent="0.25">
      <c r="A3145" t="str">
        <f>"Global Sustainability: The Impact of Local Cultures: A New Perspective for Science &amp; Engineering Economics &amp; Politics"</f>
        <v>Global Sustainability: The Impact of Local Cultures: A New Perspective for Science &amp; Engineering Economics &amp; Politics</v>
      </c>
      <c r="B3145" t="str">
        <f>"9783527312368"</f>
        <v>9783527312368</v>
      </c>
      <c r="C3145">
        <v>93.6</v>
      </c>
      <c r="D3145" t="str">
        <f>"USD"</f>
        <v>USD</v>
      </c>
      <c r="E3145" t="str">
        <f>"2005"</f>
        <v>2005</v>
      </c>
      <c r="F3145" t="str">
        <f>"Wilderer"</f>
        <v>Wilderer</v>
      </c>
      <c r="G3145" t="str">
        <f>"safirketab"</f>
        <v>safirketab</v>
      </c>
    </row>
    <row r="3146" spans="1:7" x14ac:dyDescent="0.25">
      <c r="A3146" t="str">
        <f>"GLOBAL THREATS,GLOBAL FUTURES"</f>
        <v>GLOBAL THREATS,GLOBAL FUTURES</v>
      </c>
      <c r="B3146" t="str">
        <f>"9781848448490"</f>
        <v>9781848448490</v>
      </c>
      <c r="C3146">
        <v>7.5</v>
      </c>
      <c r="D3146" t="str">
        <f>"GBP"</f>
        <v>GBP</v>
      </c>
      <c r="E3146" t="str">
        <f>"2010"</f>
        <v>2010</v>
      </c>
      <c r="F3146" t="str">
        <f>"THAYER SCUDDER"</f>
        <v>THAYER SCUDDER</v>
      </c>
      <c r="G3146" t="str">
        <f>"AsarBartar"</f>
        <v>AsarBartar</v>
      </c>
    </row>
    <row r="3147" spans="1:7" x14ac:dyDescent="0.25">
      <c r="A3147" t="str">
        <f>"Global Warming And Forest, HB"</f>
        <v>Global Warming And Forest, HB</v>
      </c>
      <c r="B3147" t="str">
        <f>"9788170357049"</f>
        <v>9788170357049</v>
      </c>
      <c r="C3147">
        <v>42.77</v>
      </c>
      <c r="D3147" t="str">
        <f>"USD"</f>
        <v>USD</v>
      </c>
      <c r="E3147" t="str">
        <f>"2011"</f>
        <v>2011</v>
      </c>
      <c r="F3147" t="str">
        <f>"Singh "</f>
        <v xml:space="preserve">Singh </v>
      </c>
      <c r="G3147" t="str">
        <f>"supply"</f>
        <v>supply</v>
      </c>
    </row>
    <row r="3148" spans="1:7" x14ac:dyDescent="0.25">
      <c r="A3148" t="str">
        <f>"GLOBALISATION AND NATURAL RESOURCES LAW"</f>
        <v>GLOBALISATION AND NATURAL RESOURCES LAW</v>
      </c>
      <c r="B3148" t="str">
        <f>"9781848442498"</f>
        <v>9781848442498</v>
      </c>
      <c r="C3148">
        <v>36</v>
      </c>
      <c r="D3148" t="str">
        <f>"GBP"</f>
        <v>GBP</v>
      </c>
      <c r="E3148" t="str">
        <f>"2011"</f>
        <v>2011</v>
      </c>
      <c r="F3148" t="str">
        <f>"ELENA BLANCO, SENIO"</f>
        <v>ELENA BLANCO, SENIO</v>
      </c>
      <c r="G3148" t="str">
        <f>"AsarBartar"</f>
        <v>AsarBartar</v>
      </c>
    </row>
    <row r="3149" spans="1:7" x14ac:dyDescent="0.25">
      <c r="A3149" t="str">
        <f>"Glyphosate Resistance in Crops and Weeds: History, Development, and Management"</f>
        <v>Glyphosate Resistance in Crops and Weeds: History, Development, and Management</v>
      </c>
      <c r="B3149" t="str">
        <f>"9780470410318"</f>
        <v>9780470410318</v>
      </c>
      <c r="C3149">
        <v>48.8</v>
      </c>
      <c r="D3149" t="str">
        <f>"USD"</f>
        <v>USD</v>
      </c>
      <c r="E3149" t="str">
        <f>"2010"</f>
        <v>2010</v>
      </c>
      <c r="F3149" t="str">
        <f>"Nandula"</f>
        <v>Nandula</v>
      </c>
      <c r="G3149" t="str">
        <f>"avanddanesh"</f>
        <v>avanddanesh</v>
      </c>
    </row>
    <row r="3150" spans="1:7" x14ac:dyDescent="0.25">
      <c r="A3150" t="str">
        <f>"Glyphosate Resistance in Crops and Weeds: History, Development, and Management"</f>
        <v>Glyphosate Resistance in Crops and Weeds: History, Development, and Management</v>
      </c>
      <c r="B3150" t="str">
        <f>"9780470410318"</f>
        <v>9780470410318</v>
      </c>
      <c r="C3150">
        <v>48.8</v>
      </c>
      <c r="D3150" t="str">
        <f>"USD"</f>
        <v>USD</v>
      </c>
      <c r="E3150" t="str">
        <f>"2010"</f>
        <v>2010</v>
      </c>
      <c r="F3150" t="str">
        <f>"Nandula"</f>
        <v>Nandula</v>
      </c>
      <c r="G3150" t="str">
        <f>"safirketab"</f>
        <v>safirketab</v>
      </c>
    </row>
    <row r="3151" spans="1:7" x14ac:dyDescent="0.25">
      <c r="A3151" t="str">
        <f>"GNSS Environmental Sensing: Revolutionizing Environmental Monitoring. 2/ed"</f>
        <v>GNSS Environmental Sensing: Revolutionizing Environmental Monitoring. 2/ed</v>
      </c>
      <c r="B3151" t="str">
        <f>"9783319584171"</f>
        <v>9783319584171</v>
      </c>
      <c r="C3151">
        <v>134.99</v>
      </c>
      <c r="D3151" t="str">
        <f>"EUR"</f>
        <v>EUR</v>
      </c>
      <c r="E3151" t="str">
        <f>"2018"</f>
        <v>2018</v>
      </c>
      <c r="F3151" t="str">
        <f>"Awange"</f>
        <v>Awange</v>
      </c>
      <c r="G3151" t="str">
        <f>"negarestanabi"</f>
        <v>negarestanabi</v>
      </c>
    </row>
    <row r="3152" spans="1:7" x14ac:dyDescent="0.25">
      <c r="A3152" t="str">
        <f>"GOOD COP/BAD COP: ENVIRONMENTAL NGOS AND THEIR STRATEGIES"</f>
        <v>GOOD COP/BAD COP: ENVIRONMENTAL NGOS AND THEIR STRATEGIES</v>
      </c>
      <c r="B3152" t="str">
        <f>"9781933115771"</f>
        <v>9781933115771</v>
      </c>
      <c r="C3152">
        <v>7.65</v>
      </c>
      <c r="D3152" t="str">
        <f>"GBP"</f>
        <v>GBP</v>
      </c>
      <c r="E3152" t="str">
        <f>"2010"</f>
        <v>2010</v>
      </c>
      <c r="F3152" t="str">
        <f>"Thomas P. Lyon"</f>
        <v>Thomas P. Lyon</v>
      </c>
      <c r="G3152" t="str">
        <f>"AsarBartar"</f>
        <v>AsarBartar</v>
      </c>
    </row>
    <row r="3153" spans="1:7" x14ac:dyDescent="0.25">
      <c r="A3153" t="str">
        <f>"GOVERNANCE FOR THE ENVIRONMENT"</f>
        <v>GOVERNANCE FOR THE ENVIRONMENT</v>
      </c>
      <c r="B3153" t="str">
        <f>"9781848444102"</f>
        <v>9781848444102</v>
      </c>
      <c r="C3153">
        <v>19.5</v>
      </c>
      <c r="D3153" t="str">
        <f>"GBP"</f>
        <v>GBP</v>
      </c>
      <c r="E3153" t="str">
        <f>"2010"</f>
        <v>2010</v>
      </c>
      <c r="F3153" t="str">
        <f>"GORIA, A.   SGOBBI,"</f>
        <v>GORIA, A.   SGOBBI,</v>
      </c>
      <c r="G3153" t="str">
        <f>"AsarBartar"</f>
        <v>AsarBartar</v>
      </c>
    </row>
    <row r="3154" spans="1:7" x14ac:dyDescent="0.25">
      <c r="A3154" t="str">
        <f>"Governance of Water-Related Conflicts in Agriculture"</f>
        <v>Governance of Water-Related Conflicts in Agriculture</v>
      </c>
      <c r="B3154" t="str">
        <f>"9781402015533"</f>
        <v>9781402015533</v>
      </c>
      <c r="C3154">
        <v>88</v>
      </c>
      <c r="D3154" t="str">
        <f>"USD"</f>
        <v>USD</v>
      </c>
      <c r="E3154" t="str">
        <f>"2003"</f>
        <v>2003</v>
      </c>
      <c r="F3154" t="str">
        <f>"Brouwer,F.M.(Eds)"</f>
        <v>Brouwer,F.M.(Eds)</v>
      </c>
      <c r="G3154" t="str">
        <f>"safirketab"</f>
        <v>safirketab</v>
      </c>
    </row>
    <row r="3155" spans="1:7" x14ac:dyDescent="0.25">
      <c r="A3155" t="str">
        <f>"GOVERNING AFRICA'S FORESTS IN A GLOBALIZED WORLD (EARTHSCAN FORESTRY LIBRARY)"</f>
        <v>GOVERNING AFRICA'S FORESTS IN A GLOBALIZED WORLD (EARTHSCAN FORESTRY LIBRARY)</v>
      </c>
      <c r="B3155" t="str">
        <f>"9781844077564"</f>
        <v>9781844077564</v>
      </c>
      <c r="C3155">
        <v>19.5</v>
      </c>
      <c r="D3155" t="str">
        <f>"GBP"</f>
        <v>GBP</v>
      </c>
      <c r="E3155" t="str">
        <f>"2010"</f>
        <v>2010</v>
      </c>
      <c r="F3155" t="str">
        <f>"ANNE-MARIE TIANI(ED"</f>
        <v>ANNE-MARIE TIANI(ED</v>
      </c>
      <c r="G3155" t="str">
        <f>"AsarBartar"</f>
        <v>AsarBartar</v>
      </c>
    </row>
    <row r="3156" spans="1:7" x14ac:dyDescent="0.25">
      <c r="A3156" t="str">
        <f>"GOVERNING UNCERTAINTY PB"</f>
        <v>GOVERNING UNCERTAINTY PB</v>
      </c>
      <c r="B3156" t="str">
        <f>"9781933115795"</f>
        <v>9781933115795</v>
      </c>
      <c r="C3156">
        <v>7.49</v>
      </c>
      <c r="D3156" t="str">
        <f>"GBP"</f>
        <v>GBP</v>
      </c>
      <c r="E3156" t="str">
        <f>"2010"</f>
        <v>2010</v>
      </c>
      <c r="F3156" t="str">
        <f>"Bosso, Christopher"</f>
        <v>Bosso, Christopher</v>
      </c>
      <c r="G3156" t="str">
        <f>"AsarBartar"</f>
        <v>AsarBartar</v>
      </c>
    </row>
    <row r="3157" spans="1:7" x14ac:dyDescent="0.25">
      <c r="A3157" t="str">
        <f>"Grains"</f>
        <v>Grains</v>
      </c>
      <c r="B3157" t="str">
        <f>"9780745688046"</f>
        <v>9780745688046</v>
      </c>
      <c r="C3157">
        <v>17</v>
      </c>
      <c r="D3157" t="str">
        <f>"USD"</f>
        <v>USD</v>
      </c>
      <c r="E3157" t="str">
        <f>"2016"</f>
        <v>2016</v>
      </c>
      <c r="F3157" t="str">
        <f>"Winders"</f>
        <v>Winders</v>
      </c>
      <c r="G3157" t="str">
        <f>"avanddanesh"</f>
        <v>avanddanesh</v>
      </c>
    </row>
    <row r="3158" spans="1:7" x14ac:dyDescent="0.25">
      <c r="A3158" t="str">
        <f>"Gravel-Bed Rivers: Process and Disasters"</f>
        <v>Gravel-Bed Rivers: Process and Disasters</v>
      </c>
      <c r="B3158" t="str">
        <f>"9781118971406"</f>
        <v>9781118971406</v>
      </c>
      <c r="C3158">
        <v>171</v>
      </c>
      <c r="D3158" t="str">
        <f>"USD"</f>
        <v>USD</v>
      </c>
      <c r="E3158" t="str">
        <f>"2017"</f>
        <v>2017</v>
      </c>
      <c r="F3158" t="str">
        <f>"Tsutsumi"</f>
        <v>Tsutsumi</v>
      </c>
      <c r="G3158" t="str">
        <f>"avanddanesh"</f>
        <v>avanddanesh</v>
      </c>
    </row>
    <row r="3159" spans="1:7" x14ac:dyDescent="0.25">
      <c r="A3159" t="str">
        <f>"Green and Sustainable Pharmacy"</f>
        <v>Green and Sustainable Pharmacy</v>
      </c>
      <c r="B3159" t="str">
        <f>"9783642051982"</f>
        <v>9783642051982</v>
      </c>
      <c r="C3159">
        <v>161.99</v>
      </c>
      <c r="D3159" t="str">
        <f>"EUR"</f>
        <v>EUR</v>
      </c>
      <c r="E3159" t="str">
        <f>"2010"</f>
        <v>2010</v>
      </c>
      <c r="F3159" t="str">
        <f>"KÃ¼mmerer"</f>
        <v>KÃ¼mmerer</v>
      </c>
      <c r="G3159" t="str">
        <f>"negarestanabi"</f>
        <v>negarestanabi</v>
      </c>
    </row>
    <row r="3160" spans="1:7" x14ac:dyDescent="0.25">
      <c r="A3160" t="str">
        <f>"Green Chemistry"</f>
        <v>Green Chemistry</v>
      </c>
      <c r="B3160" t="str">
        <f>"9781782622949"</f>
        <v>9781782622949</v>
      </c>
      <c r="C3160">
        <v>23.4</v>
      </c>
      <c r="D3160" t="str">
        <f>"GBP"</f>
        <v>GBP</v>
      </c>
      <c r="E3160" t="str">
        <f>"2016"</f>
        <v>2016</v>
      </c>
      <c r="F3160" t="str">
        <f>"Mike Lancaster"</f>
        <v>Mike Lancaster</v>
      </c>
      <c r="G3160" t="str">
        <f>"arzinbooks"</f>
        <v>arzinbooks</v>
      </c>
    </row>
    <row r="3161" spans="1:7" x14ac:dyDescent="0.25">
      <c r="A3161" t="str">
        <f>"Green Chemistry and Sustainability in Pulp and Paper Industry"</f>
        <v>Green Chemistry and Sustainability in Pulp and Paper Industry</v>
      </c>
      <c r="B3161" t="str">
        <f>"9783319187433"</f>
        <v>9783319187433</v>
      </c>
      <c r="C3161">
        <v>107.99</v>
      </c>
      <c r="D3161" t="str">
        <f>"EUR"</f>
        <v>EUR</v>
      </c>
      <c r="E3161" t="str">
        <f>"2015"</f>
        <v>2015</v>
      </c>
      <c r="F3161" t="str">
        <f>"Bajpai"</f>
        <v>Bajpai</v>
      </c>
      <c r="G3161" t="str">
        <f>"negarestanabi"</f>
        <v>negarestanabi</v>
      </c>
    </row>
    <row r="3162" spans="1:7" x14ac:dyDescent="0.25">
      <c r="A3162" t="str">
        <f>"Green Chemistry for Sustainable Biofuel Production"</f>
        <v>Green Chemistry for Sustainable Biofuel Production</v>
      </c>
      <c r="B3162" t="str">
        <f>"9781771886390"</f>
        <v>9781771886390</v>
      </c>
      <c r="C3162">
        <v>125.1</v>
      </c>
      <c r="D3162" t="str">
        <f>"GBP"</f>
        <v>GBP</v>
      </c>
      <c r="E3162" t="str">
        <f>"2018"</f>
        <v>2018</v>
      </c>
      <c r="F3162" t="str">
        <f>"Gude"</f>
        <v>Gude</v>
      </c>
      <c r="G3162" t="str">
        <f>"sal"</f>
        <v>sal</v>
      </c>
    </row>
    <row r="3163" spans="1:7" x14ac:dyDescent="0.25">
      <c r="A3163" t="str">
        <f>"Green Chemistry Metrics: Measuring and Monitoring Sustainable Processes"</f>
        <v>Green Chemistry Metrics: Measuring and Monitoring Sustainable Processes</v>
      </c>
      <c r="B3163" t="str">
        <f>"9781405159685"</f>
        <v>9781405159685</v>
      </c>
      <c r="C3163">
        <v>94.5</v>
      </c>
      <c r="D3163" t="str">
        <f>"USD"</f>
        <v>USD</v>
      </c>
      <c r="E3163" t="str">
        <f>"2009"</f>
        <v>2009</v>
      </c>
      <c r="F3163" t="str">
        <f>"Lapkin"</f>
        <v>Lapkin</v>
      </c>
      <c r="G3163" t="str">
        <f>"safirketab"</f>
        <v>safirketab</v>
      </c>
    </row>
    <row r="3164" spans="1:7" x14ac:dyDescent="0.25">
      <c r="A3164" t="str">
        <f>"Green Chemistry, An Inclusive Approach"</f>
        <v>Green Chemistry, An Inclusive Approach</v>
      </c>
      <c r="B3164" t="str">
        <f>"9780128092705"</f>
        <v>9780128092705</v>
      </c>
      <c r="C3164">
        <v>139.5</v>
      </c>
      <c r="D3164" t="str">
        <f>"USD"</f>
        <v>USD</v>
      </c>
      <c r="E3164" t="str">
        <f>"2017"</f>
        <v>2017</v>
      </c>
      <c r="F3164" t="str">
        <f>"Torok and Dransfield"</f>
        <v>Torok and Dransfield</v>
      </c>
      <c r="G3164" t="str">
        <f>"arang"</f>
        <v>arang</v>
      </c>
    </row>
    <row r="3165" spans="1:7" x14ac:dyDescent="0.25">
      <c r="A3165" t="str">
        <f>"Green Design and Manufacturing for Sustainability"</f>
        <v>Green Design and Manufacturing for Sustainability</v>
      </c>
      <c r="B3165" t="str">
        <f>"9781466505261"</f>
        <v>9781466505261</v>
      </c>
      <c r="C3165">
        <v>85.5</v>
      </c>
      <c r="D3165" t="str">
        <f>"GBP"</f>
        <v>GBP</v>
      </c>
      <c r="E3165" t="str">
        <f>"2016"</f>
        <v>2016</v>
      </c>
      <c r="F3165" t="str">
        <f>"JHA"</f>
        <v>JHA</v>
      </c>
      <c r="G3165" t="str">
        <f>"sal"</f>
        <v>sal</v>
      </c>
    </row>
    <row r="3166" spans="1:7" x14ac:dyDescent="0.25">
      <c r="A3166" t="str">
        <f>"Green Exercise: Linking Nature, Health and Well-being"</f>
        <v>Green Exercise: Linking Nature, Health and Well-being</v>
      </c>
      <c r="B3166" t="str">
        <f>"9781138807655"</f>
        <v>9781138807655</v>
      </c>
      <c r="C3166">
        <v>25.5</v>
      </c>
      <c r="D3166" t="str">
        <f>"GBP"</f>
        <v>GBP</v>
      </c>
      <c r="E3166" t="str">
        <f>"2016"</f>
        <v>2016</v>
      </c>
      <c r="F3166" t="str">
        <f>"Jo Barton(Editor),R"</f>
        <v>Jo Barton(Editor),R</v>
      </c>
      <c r="G3166" t="str">
        <f>"AsarBartar"</f>
        <v>AsarBartar</v>
      </c>
    </row>
    <row r="3167" spans="1:7" x14ac:dyDescent="0.25">
      <c r="A3167" t="str">
        <f>"Green Fiscal Reform for a Sustainable Future: Reform, Innovation and Renewable Energy (Critical Issues in Environmental Taxation series, #17)"</f>
        <v>Green Fiscal Reform for a Sustainable Future: Reform, Innovation and Renewable Energy (Critical Issues in Environmental Taxation series, #17)</v>
      </c>
      <c r="B3167" t="str">
        <f>"9781786431189"</f>
        <v>9781786431189</v>
      </c>
      <c r="C3167">
        <v>63.75</v>
      </c>
      <c r="D3167" t="str">
        <f>"GBP"</f>
        <v>GBP</v>
      </c>
      <c r="E3167" t="str">
        <f>"2016"</f>
        <v>2016</v>
      </c>
      <c r="F3167" t="str">
        <f>"Natalie P. Stoianof"</f>
        <v>Natalie P. Stoianof</v>
      </c>
      <c r="G3167" t="str">
        <f>"AsarBartar"</f>
        <v>AsarBartar</v>
      </c>
    </row>
    <row r="3168" spans="1:7" x14ac:dyDescent="0.25">
      <c r="A3168" t="str">
        <f>"GREEN HOUSE ENVIRONMENT, HB"</f>
        <v>GREEN HOUSE ENVIRONMENT, HB</v>
      </c>
      <c r="B3168" t="str">
        <f>"9789350300756"</f>
        <v>9789350300756</v>
      </c>
      <c r="C3168">
        <v>38.43</v>
      </c>
      <c r="D3168" t="str">
        <f>"USD"</f>
        <v>USD</v>
      </c>
      <c r="E3168" t="str">
        <f>"2012"</f>
        <v>2012</v>
      </c>
      <c r="F3168" t="str">
        <f>"Sharaf"</f>
        <v>Sharaf</v>
      </c>
      <c r="G3168" t="str">
        <f>"supply"</f>
        <v>supply</v>
      </c>
    </row>
    <row r="3169" spans="1:7" x14ac:dyDescent="0.25">
      <c r="A3169" t="str">
        <f>"Green Infrastructure: Incorporating Plants and Enhancing Biodiversity in Buildings and Urban Environments"</f>
        <v>Green Infrastructure: Incorporating Plants and Enhancing Biodiversity in Buildings and Urban Environments</v>
      </c>
      <c r="B3169" t="str">
        <f>"9780415521246"</f>
        <v>9780415521246</v>
      </c>
      <c r="C3169">
        <v>39.950000000000003</v>
      </c>
      <c r="D3169" t="str">
        <f>"GBP"</f>
        <v>GBP</v>
      </c>
      <c r="E3169" t="str">
        <f>"2015"</f>
        <v>2015</v>
      </c>
      <c r="F3169" t="str">
        <f>"John W. Dover"</f>
        <v>John W. Dover</v>
      </c>
      <c r="G3169" t="str">
        <f>"AsarBartar"</f>
        <v>AsarBartar</v>
      </c>
    </row>
    <row r="3170" spans="1:7" x14ac:dyDescent="0.25">
      <c r="A3170" t="str">
        <f>"Green Marketing and Environmental Responsibility in Modern Corporations"</f>
        <v>Green Marketing and Environmental Responsibility in Modern Corporations</v>
      </c>
      <c r="B3170" t="str">
        <f>"9781522523314"</f>
        <v>9781522523314</v>
      </c>
      <c r="C3170">
        <v>135</v>
      </c>
      <c r="D3170" t="str">
        <f>"USD"</f>
        <v>USD</v>
      </c>
      <c r="E3170" t="str">
        <f>"2017"</f>
        <v>2017</v>
      </c>
      <c r="F3170" t="str">
        <f>"Thangasamy Esakki"</f>
        <v>Thangasamy Esakki</v>
      </c>
      <c r="G3170" t="str">
        <f>"arzinbooks"</f>
        <v>arzinbooks</v>
      </c>
    </row>
    <row r="3171" spans="1:7" x14ac:dyDescent="0.25">
      <c r="A3171" t="str">
        <f>"Green Materials for Sustainable Water Remediation and Treatment"</f>
        <v>Green Materials for Sustainable Water Remediation and Treatment</v>
      </c>
      <c r="B3171" t="str">
        <f>"9781849736213"</f>
        <v>9781849736213</v>
      </c>
      <c r="C3171">
        <v>56</v>
      </c>
      <c r="D3171" t="str">
        <f>"GBP"</f>
        <v>GBP</v>
      </c>
      <c r="E3171" t="str">
        <f>"2013"</f>
        <v>2013</v>
      </c>
      <c r="F3171" t="str">
        <f>"Anuradha Mishra (Edi"</f>
        <v>Anuradha Mishra (Edi</v>
      </c>
      <c r="G3171" t="str">
        <f>"arzinbooks"</f>
        <v>arzinbooks</v>
      </c>
    </row>
    <row r="3172" spans="1:7" x14ac:dyDescent="0.25">
      <c r="A3172" t="str">
        <f>"Green Photo-active Nanomaterials : Sustainable Energy and Environmental Remediation"</f>
        <v>Green Photo-active Nanomaterials : Sustainable Energy and Environmental Remediation</v>
      </c>
      <c r="B3172" t="str">
        <f>"9781849739597"</f>
        <v>9781849739597</v>
      </c>
      <c r="C3172">
        <v>116.4</v>
      </c>
      <c r="D3172" t="str">
        <f>"GBP"</f>
        <v>GBP</v>
      </c>
      <c r="E3172" t="str">
        <f>"2016"</f>
        <v>2016</v>
      </c>
      <c r="F3172" t="str">
        <f>"Nuraje, Asmatulu, Mu"</f>
        <v>Nuraje, Asmatulu, Mu</v>
      </c>
      <c r="G3172" t="str">
        <f>"arzinbooks"</f>
        <v>arzinbooks</v>
      </c>
    </row>
    <row r="3173" spans="1:7" x14ac:dyDescent="0.25">
      <c r="A3173" t="str">
        <f>"Green Production Strategies for Sustainability"</f>
        <v>Green Production Strategies for Sustainability</v>
      </c>
      <c r="B3173" t="str">
        <f>"9781522535379"</f>
        <v>9781522535379</v>
      </c>
      <c r="C3173">
        <v>176.3</v>
      </c>
      <c r="D3173" t="str">
        <f>"USD"</f>
        <v>USD</v>
      </c>
      <c r="E3173" t="str">
        <f>"2018"</f>
        <v>2018</v>
      </c>
      <c r="F3173" t="str">
        <f>"Sang-Binge Tsai"</f>
        <v>Sang-Binge Tsai</v>
      </c>
      <c r="G3173" t="str">
        <f>"arzinbooks"</f>
        <v>arzinbooks</v>
      </c>
    </row>
    <row r="3174" spans="1:7" x14ac:dyDescent="0.25">
      <c r="A3174" t="str">
        <f>"Green Services Engineering, Optimization, and Modeling in the Technological Age"</f>
        <v>Green Services Engineering, Optimization, and Modeling in the Technological Age</v>
      </c>
      <c r="B3174" t="str">
        <f>"9781466684478"</f>
        <v>9781466684478</v>
      </c>
      <c r="C3174">
        <v>146.30000000000001</v>
      </c>
      <c r="D3174" t="str">
        <f>"USD"</f>
        <v>USD</v>
      </c>
      <c r="E3174" t="str">
        <f>"2015"</f>
        <v>2015</v>
      </c>
      <c r="F3174" t="str">
        <f>"Xiaodong Liu"</f>
        <v>Xiaodong Liu</v>
      </c>
      <c r="G3174" t="str">
        <f>"arzinbooks"</f>
        <v>arzinbooks</v>
      </c>
    </row>
    <row r="3175" spans="1:7" x14ac:dyDescent="0.25">
      <c r="A3175" t="str">
        <f>"Green Technology : An Approach For Sustainable Environment, HB"</f>
        <v>Green Technology : An Approach For Sustainable Environment, HB</v>
      </c>
      <c r="B3175" t="str">
        <f>"9788177543438"</f>
        <v>9788177543438</v>
      </c>
      <c r="C3175">
        <v>37.24</v>
      </c>
      <c r="D3175" t="str">
        <f>"USD"</f>
        <v>USD</v>
      </c>
      <c r="E3175" t="str">
        <f>"2008"</f>
        <v>2008</v>
      </c>
      <c r="F3175" t="str">
        <f>"Purohit"</f>
        <v>Purohit</v>
      </c>
      <c r="G3175" t="str">
        <f>"supply"</f>
        <v>supply</v>
      </c>
    </row>
    <row r="3176" spans="1:7" x14ac:dyDescent="0.25">
      <c r="A3176" t="str">
        <f>"Green Technology Applications for Enterprise and Academic Innovation"</f>
        <v>Green Technology Applications for Enterprise and Academic Innovation</v>
      </c>
      <c r="B3176" t="str">
        <f>"9781466651661"</f>
        <v>9781466651661</v>
      </c>
      <c r="C3176">
        <v>90</v>
      </c>
      <c r="D3176" t="str">
        <f>"USD"</f>
        <v>USD</v>
      </c>
      <c r="E3176" t="str">
        <f>"2014"</f>
        <v>2014</v>
      </c>
      <c r="F3176" t="str">
        <f>"EZENDU ARIWA"</f>
        <v>EZENDU ARIWA</v>
      </c>
      <c r="G3176" t="str">
        <f>"arzinbooks"</f>
        <v>arzinbooks</v>
      </c>
    </row>
    <row r="3177" spans="1:7" x14ac:dyDescent="0.25">
      <c r="A3177" t="str">
        <f>"Green Utopias: Environmental Hope Before and After Nature"</f>
        <v>Green Utopias: Environmental Hope Before and After Nature</v>
      </c>
      <c r="B3177" t="str">
        <f>"9780745684741"</f>
        <v>9780745684741</v>
      </c>
      <c r="C3177">
        <v>20.7</v>
      </c>
      <c r="D3177" t="str">
        <f>"USD"</f>
        <v>USD</v>
      </c>
      <c r="E3177" t="str">
        <f>"2017"</f>
        <v>2017</v>
      </c>
      <c r="F3177" t="str">
        <f>"Garforth"</f>
        <v>Garforth</v>
      </c>
      <c r="G3177" t="str">
        <f>"avanddanesh"</f>
        <v>avanddanesh</v>
      </c>
    </row>
    <row r="3178" spans="1:7" x14ac:dyDescent="0.25">
      <c r="A3178" t="str">
        <f>"GREENER PRODUCTS"</f>
        <v>GREENER PRODUCTS</v>
      </c>
      <c r="B3178" t="str">
        <f>"9781439854310"</f>
        <v>9781439854310</v>
      </c>
      <c r="C3178">
        <v>43.8</v>
      </c>
      <c r="D3178" t="str">
        <f>"GBP"</f>
        <v>GBP</v>
      </c>
      <c r="E3178" t="str">
        <f>"2012"</f>
        <v>2012</v>
      </c>
      <c r="F3178" t="str">
        <f>"IANNUZZI, AL"</f>
        <v>IANNUZZI, AL</v>
      </c>
      <c r="G3178" t="str">
        <f>"AsarBartar"</f>
        <v>AsarBartar</v>
      </c>
    </row>
    <row r="3179" spans="1:7" x14ac:dyDescent="0.25">
      <c r="A3179" t="str">
        <f>"GROUND WATER : Surveys &amp; Investigations, HB"</f>
        <v>GROUND WATER : Surveys &amp; Investigations, HB</v>
      </c>
      <c r="B3179" t="str">
        <f>"9788131304747"</f>
        <v>9788131304747</v>
      </c>
      <c r="C3179">
        <v>16.8</v>
      </c>
      <c r="D3179" t="str">
        <f>"USD"</f>
        <v>USD</v>
      </c>
      <c r="E3179" t="str">
        <f>"2009"</f>
        <v>2009</v>
      </c>
      <c r="F3179" t="str">
        <f>"Mahajan"</f>
        <v>Mahajan</v>
      </c>
      <c r="G3179" t="str">
        <f>"supply"</f>
        <v>supply</v>
      </c>
    </row>
    <row r="3180" spans="1:7" x14ac:dyDescent="0.25">
      <c r="A3180" t="str">
        <f>"Groundwater Age"</f>
        <v>Groundwater Age</v>
      </c>
      <c r="B3180" t="str">
        <f>"9780471718192"</f>
        <v>9780471718192</v>
      </c>
      <c r="C3180">
        <v>64</v>
      </c>
      <c r="D3180" t="str">
        <f>"USD"</f>
        <v>USD</v>
      </c>
      <c r="E3180" t="str">
        <f>"2006"</f>
        <v>2006</v>
      </c>
      <c r="F3180" t="str">
        <f>"Kazemi"</f>
        <v>Kazemi</v>
      </c>
      <c r="G3180" t="str">
        <f>"avanddanesh"</f>
        <v>avanddanesh</v>
      </c>
    </row>
    <row r="3181" spans="1:7" x14ac:dyDescent="0.25">
      <c r="A3181" t="str">
        <f>"Groundwater around the World: A Geographic Synopsis"</f>
        <v>Groundwater around the World: A Geographic Synopsis</v>
      </c>
      <c r="B3181" t="str">
        <f>"9781138000346"</f>
        <v>9781138000346</v>
      </c>
      <c r="C3181">
        <v>34.799999999999997</v>
      </c>
      <c r="D3181" t="str">
        <f>"GBP"</f>
        <v>GBP</v>
      </c>
      <c r="E3181" t="str">
        <f>"2013"</f>
        <v>2013</v>
      </c>
      <c r="F3181" t="str">
        <f>"Jac van der Gun"</f>
        <v>Jac van der Gun</v>
      </c>
      <c r="G3181" t="str">
        <f>"AsarBartar"</f>
        <v>AsarBartar</v>
      </c>
    </row>
    <row r="3182" spans="1:7" x14ac:dyDescent="0.25">
      <c r="A3182" t="str">
        <f>"Groundwater Arsenic Remediation, Treatment Technol"</f>
        <v>Groundwater Arsenic Remediation, Treatment Technol</v>
      </c>
      <c r="B3182" t="str">
        <f>"9780128012819"</f>
        <v>9780128012819</v>
      </c>
      <c r="C3182">
        <v>117</v>
      </c>
      <c r="D3182" t="str">
        <f>"USD"</f>
        <v>USD</v>
      </c>
      <c r="E3182" t="str">
        <f>"2015"</f>
        <v>2015</v>
      </c>
      <c r="F3182" t="str">
        <f>"N/A*"</f>
        <v>N/A*</v>
      </c>
      <c r="G3182" t="str">
        <f>"dehkadehketab"</f>
        <v>dehkadehketab</v>
      </c>
    </row>
    <row r="3183" spans="1:7" x14ac:dyDescent="0.25">
      <c r="A3183" t="str">
        <f>"Groundwater Arsenic Remediation, Treatment Technology and Scale UP"</f>
        <v>Groundwater Arsenic Remediation, Treatment Technology and Scale UP</v>
      </c>
      <c r="B3183" t="str">
        <f>"9780128012819"</f>
        <v>9780128012819</v>
      </c>
      <c r="C3183">
        <v>117</v>
      </c>
      <c r="D3183" t="str">
        <f>"USD"</f>
        <v>USD</v>
      </c>
      <c r="E3183" t="str">
        <f>"2015"</f>
        <v>2015</v>
      </c>
      <c r="F3183" t="str">
        <f>"Pal"</f>
        <v>Pal</v>
      </c>
      <c r="G3183" t="str">
        <f>"arang"</f>
        <v>arang</v>
      </c>
    </row>
    <row r="3184" spans="1:7" x14ac:dyDescent="0.25">
      <c r="A3184" t="str">
        <f>"Groundwater Assessment, Modeling, and Management"</f>
        <v>Groundwater Assessment, Modeling, and Management</v>
      </c>
      <c r="B3184" t="str">
        <f>"9781498742849"</f>
        <v>9781498742849</v>
      </c>
      <c r="C3184">
        <v>140.25</v>
      </c>
      <c r="D3184" t="str">
        <f>"GBP"</f>
        <v>GBP</v>
      </c>
      <c r="E3184" t="str">
        <f>"2016"</f>
        <v>2016</v>
      </c>
      <c r="F3184" t="str">
        <f>"M. Thangarajan(Edit"</f>
        <v>M. Thangarajan(Edit</v>
      </c>
      <c r="G3184" t="str">
        <f>"AsarBartar"</f>
        <v>AsarBartar</v>
      </c>
    </row>
    <row r="3185" spans="1:7" x14ac:dyDescent="0.25">
      <c r="A3185" t="str">
        <f>"GROUNDWATER CHARACTERIZATION, MANAGEMENT AND MONITORING, HB"</f>
        <v>GROUNDWATER CHARACTERIZATION, MANAGEMENT AND MONITORING, HB</v>
      </c>
      <c r="B3185" t="str">
        <f>"9781845641344"</f>
        <v>9781845641344</v>
      </c>
      <c r="C3185">
        <v>80.5</v>
      </c>
      <c r="D3185" t="str">
        <f>"GBP"</f>
        <v>GBP</v>
      </c>
      <c r="E3185" t="str">
        <f>"2011"</f>
        <v>2011</v>
      </c>
      <c r="F3185" t="str">
        <f>"Cunha"</f>
        <v>Cunha</v>
      </c>
      <c r="G3185" t="str">
        <f>"supply"</f>
        <v>supply</v>
      </c>
    </row>
    <row r="3186" spans="1:7" x14ac:dyDescent="0.25">
      <c r="A3186" t="str">
        <f>"Groundwater Environment in Asian Cities, Concepts, Methods and Case Studies"</f>
        <v>Groundwater Environment in Asian Cities, Concepts, Methods and Case Studies</v>
      </c>
      <c r="B3186" t="str">
        <f>"9780128031667"</f>
        <v>9780128031667</v>
      </c>
      <c r="C3186">
        <v>117</v>
      </c>
      <c r="D3186" t="str">
        <f>"USD"</f>
        <v>USD</v>
      </c>
      <c r="E3186" t="str">
        <f>"2016"</f>
        <v>2016</v>
      </c>
      <c r="F3186" t="str">
        <f>"Shrestha et al"</f>
        <v>Shrestha et al</v>
      </c>
      <c r="G3186" t="str">
        <f>"arang"</f>
        <v>arang</v>
      </c>
    </row>
    <row r="3187" spans="1:7" x14ac:dyDescent="0.25">
      <c r="A3187" t="str">
        <f>"GROUNDWATER GOVERNANCE IN THE INDO-GANGETIC AND YELLOW RIVER BASINS : REALITIES AND CHALLENGES"</f>
        <v>GROUNDWATER GOVERNANCE IN THE INDO-GANGETIC AND YELLOW RIVER BASINS : REALITIES AND CHALLENGES</v>
      </c>
      <c r="B3187" t="str">
        <f>"9780415465809"</f>
        <v>9780415465809</v>
      </c>
      <c r="C3187">
        <v>20.99</v>
      </c>
      <c r="D3187" t="str">
        <f>"GBP"</f>
        <v>GBP</v>
      </c>
      <c r="E3187" t="str">
        <f>"2009"</f>
        <v>2009</v>
      </c>
      <c r="F3187" t="str">
        <f>"ADITI MUKHERJI, KAR"</f>
        <v>ADITI MUKHERJI, KAR</v>
      </c>
      <c r="G3187" t="str">
        <f>"AsarBartar"</f>
        <v>AsarBartar</v>
      </c>
    </row>
    <row r="3188" spans="1:7" x14ac:dyDescent="0.25">
      <c r="A3188" t="str">
        <f>"Groundwater Management : An Application, HB"</f>
        <v>Groundwater Management : An Application, HB</v>
      </c>
      <c r="B3188" t="str">
        <f>"9788131303481"</f>
        <v>9788131303481</v>
      </c>
      <c r="C3188">
        <v>24.85</v>
      </c>
      <c r="D3188" t="str">
        <f>"USD"</f>
        <v>USD</v>
      </c>
      <c r="E3188" t="str">
        <f>"2008"</f>
        <v>2008</v>
      </c>
      <c r="F3188" t="str">
        <f>"Maitra"</f>
        <v>Maitra</v>
      </c>
      <c r="G3188" t="str">
        <f>"supply"</f>
        <v>supply</v>
      </c>
    </row>
    <row r="3189" spans="1:7" x14ac:dyDescent="0.25">
      <c r="A3189" t="str">
        <f>"GROUNDWATER MANAGEMENT : Sustainable Approaches, HB"</f>
        <v>GROUNDWATER MANAGEMENT : Sustainable Approaches, HB</v>
      </c>
      <c r="B3189" t="str">
        <f>"9788131427200"</f>
        <v>9788131427200</v>
      </c>
      <c r="C3189">
        <v>25.06</v>
      </c>
      <c r="D3189" t="str">
        <f>"USD"</f>
        <v>USD</v>
      </c>
      <c r="E3189" t="str">
        <f>"2012"</f>
        <v>2012</v>
      </c>
      <c r="F3189" t="str">
        <f>"Bhatnagar"</f>
        <v>Bhatnagar</v>
      </c>
      <c r="G3189" t="str">
        <f>"supply"</f>
        <v>supply</v>
      </c>
    </row>
    <row r="3190" spans="1:7" x14ac:dyDescent="0.25">
      <c r="A3190" t="str">
        <f>"Groundwater Monitoring"</f>
        <v>Groundwater Monitoring</v>
      </c>
      <c r="B3190" t="str">
        <f>"9780470778098"</f>
        <v>9780470778098</v>
      </c>
      <c r="C3190">
        <v>159</v>
      </c>
      <c r="D3190" t="str">
        <f>"USD"</f>
        <v>USD</v>
      </c>
      <c r="E3190" t="str">
        <f>"2010"</f>
        <v>2010</v>
      </c>
      <c r="F3190" t="str">
        <f>"Quevauviller"</f>
        <v>Quevauviller</v>
      </c>
      <c r="G3190" t="str">
        <f>"safirketab"</f>
        <v>safirketab</v>
      </c>
    </row>
    <row r="3191" spans="1:7" x14ac:dyDescent="0.25">
      <c r="A3191" t="str">
        <f>"GROUNDWATER RESOURCES ASSESSMENT AN"</f>
        <v>GROUNDWATER RESOURCES ASSESSMENT AN</v>
      </c>
      <c r="B3191" t="str">
        <f>"9780415689366"</f>
        <v>9780415689366</v>
      </c>
      <c r="C3191">
        <v>63.6</v>
      </c>
      <c r="D3191" t="str">
        <f>"GBP"</f>
        <v>GBP</v>
      </c>
      <c r="E3191" t="str">
        <f>"2012"</f>
        <v>2012</v>
      </c>
      <c r="F3191" t="str">
        <f>"TREIDEL"</f>
        <v>TREIDEL</v>
      </c>
      <c r="G3191" t="str">
        <f>"AsarBartar"</f>
        <v>AsarBartar</v>
      </c>
    </row>
    <row r="3192" spans="1:7" x14ac:dyDescent="0.25">
      <c r="A3192" t="str">
        <f>"Groundwater Vulnerability: Chernobyl Nuclear Disaster"</f>
        <v>Groundwater Vulnerability: Chernobyl Nuclear Disaster</v>
      </c>
      <c r="B3192" t="str">
        <f>"9781118962190"</f>
        <v>9781118962190</v>
      </c>
      <c r="C3192">
        <v>46.5</v>
      </c>
      <c r="D3192" t="str">
        <f>"USD"</f>
        <v>USD</v>
      </c>
      <c r="E3192" t="str">
        <f>"2014"</f>
        <v>2014</v>
      </c>
      <c r="F3192" t="str">
        <f>"Faybishenko"</f>
        <v>Faybishenko</v>
      </c>
      <c r="G3192" t="str">
        <f>"avanddanesh"</f>
        <v>avanddanesh</v>
      </c>
    </row>
    <row r="3193" spans="1:7" x14ac:dyDescent="0.25">
      <c r="A3193" t="str">
        <f>"Guidelines for Evaluating Water in Pit Slope Stability"</f>
        <v>Guidelines for Evaluating Water in Pit Slope Stability</v>
      </c>
      <c r="B3193" t="str">
        <f>"9781138001343"</f>
        <v>9781138001343</v>
      </c>
      <c r="C3193">
        <v>101.6</v>
      </c>
      <c r="D3193" t="str">
        <f>"GBP"</f>
        <v>GBP</v>
      </c>
      <c r="E3193" t="str">
        <f>"2013"</f>
        <v>2013</v>
      </c>
      <c r="F3193" t="str">
        <f>"John Read(Editor)"</f>
        <v>John Read(Editor)</v>
      </c>
      <c r="G3193" t="str">
        <f>"AsarBartar"</f>
        <v>AsarBartar</v>
      </c>
    </row>
    <row r="3194" spans="1:7" x14ac:dyDescent="0.25">
      <c r="A3194" t="str">
        <f>"Habitat Suitability and Distribution Models : With Applications in R"</f>
        <v>Habitat Suitability and Distribution Models : With Applications in R</v>
      </c>
      <c r="B3194" t="str">
        <f>"9780521758369"</f>
        <v>9780521758369</v>
      </c>
      <c r="C3194">
        <v>34</v>
      </c>
      <c r="D3194" t="str">
        <f>"GBP"</f>
        <v>GBP</v>
      </c>
      <c r="E3194" t="str">
        <f>"2017"</f>
        <v>2017</v>
      </c>
      <c r="F3194" t="str">
        <f>"Guisan"</f>
        <v>Guisan</v>
      </c>
      <c r="G3194" t="str">
        <f>"arzinbooks"</f>
        <v>arzinbooks</v>
      </c>
    </row>
    <row r="3195" spans="1:7" x14ac:dyDescent="0.25">
      <c r="A3195" t="str">
        <f>"Handbook of Climate Change Communication: Vol. 1: Theory of Climate Change Communication"</f>
        <v>Handbook of Climate Change Communication: Vol. 1: Theory of Climate Change Communication</v>
      </c>
      <c r="B3195" t="str">
        <f>"9783319698373"</f>
        <v>9783319698373</v>
      </c>
      <c r="C3195">
        <v>134.99</v>
      </c>
      <c r="D3195" t="str">
        <f>"EUR"</f>
        <v>EUR</v>
      </c>
      <c r="E3195" t="str">
        <f>"2018"</f>
        <v>2018</v>
      </c>
      <c r="F3195" t="str">
        <f>"Leal Filho"</f>
        <v>Leal Filho</v>
      </c>
      <c r="G3195" t="str">
        <f>"negarestanabi"</f>
        <v>negarestanabi</v>
      </c>
    </row>
    <row r="3196" spans="1:7" x14ac:dyDescent="0.25">
      <c r="A3196" t="str">
        <f>"Handbook of Climate Change Communication: Vol. 2: Practice of Climate Change Communication"</f>
        <v>Handbook of Climate Change Communication: Vol. 2: Practice of Climate Change Communication</v>
      </c>
      <c r="B3196" t="str">
        <f>"9783319700656"</f>
        <v>9783319700656</v>
      </c>
      <c r="C3196">
        <v>134.99</v>
      </c>
      <c r="D3196" t="str">
        <f>"EUR"</f>
        <v>EUR</v>
      </c>
      <c r="E3196" t="str">
        <f>"2018"</f>
        <v>2018</v>
      </c>
      <c r="F3196" t="str">
        <f>"Leal Filho"</f>
        <v>Leal Filho</v>
      </c>
      <c r="G3196" t="str">
        <f>"negarestanabi"</f>
        <v>negarestanabi</v>
      </c>
    </row>
    <row r="3197" spans="1:7" x14ac:dyDescent="0.25">
      <c r="A3197" t="str">
        <f>"Handbook of Climate Change Communication: Vol. 3: Case Studies in Climate Change Communication"</f>
        <v>Handbook of Climate Change Communication: Vol. 3: Case Studies in Climate Change Communication</v>
      </c>
      <c r="B3197" t="str">
        <f>"9783319704784"</f>
        <v>9783319704784</v>
      </c>
      <c r="C3197">
        <v>134.99</v>
      </c>
      <c r="D3197" t="str">
        <f>"EUR"</f>
        <v>EUR</v>
      </c>
      <c r="E3197" t="str">
        <f>"2018"</f>
        <v>2018</v>
      </c>
      <c r="F3197" t="str">
        <f>"Leal Filho"</f>
        <v>Leal Filho</v>
      </c>
      <c r="G3197" t="str">
        <f>"negarestanabi"</f>
        <v>negarestanabi</v>
      </c>
    </row>
    <row r="3198" spans="1:7" x14ac:dyDescent="0.25">
      <c r="A3198" t="str">
        <f>"Handbook of Cyanobacterial Monitoring and Cyanotoxin Analysis"</f>
        <v>Handbook of Cyanobacterial Monitoring and Cyanotoxin Analysis</v>
      </c>
      <c r="B3198" t="str">
        <f>"9781119068686"</f>
        <v>9781119068686</v>
      </c>
      <c r="C3198">
        <v>157.5</v>
      </c>
      <c r="D3198" t="str">
        <f>"USD"</f>
        <v>USD</v>
      </c>
      <c r="E3198" t="str">
        <f>"2017"</f>
        <v>2017</v>
      </c>
      <c r="F3198" t="str">
        <f>"Meriluoto"</f>
        <v>Meriluoto</v>
      </c>
      <c r="G3198" t="str">
        <f>"avanddanesh"</f>
        <v>avanddanesh</v>
      </c>
    </row>
    <row r="3199" spans="1:7" x14ac:dyDescent="0.25">
      <c r="A3199" t="str">
        <f>"HANDBOOK OF ECOLOGICAL MODELLING AND INFORMATICS, W/CD, HB"</f>
        <v>HANDBOOK OF ECOLOGICAL MODELLING AND INFORMATICS, W/CD, HB</v>
      </c>
      <c r="B3199" t="str">
        <f>"9781845642075"</f>
        <v>9781845642075</v>
      </c>
      <c r="C3199">
        <v>144.9</v>
      </c>
      <c r="D3199" t="str">
        <f>"GBP"</f>
        <v>GBP</v>
      </c>
      <c r="E3199" t="str">
        <f>"2009"</f>
        <v>2009</v>
      </c>
      <c r="F3199" t="str">
        <f>"Jorgensen"</f>
        <v>Jorgensen</v>
      </c>
      <c r="G3199" t="str">
        <f>"supply"</f>
        <v>supply</v>
      </c>
    </row>
    <row r="3200" spans="1:7" x14ac:dyDescent="0.25">
      <c r="A3200" t="str">
        <f>"HANDBOOK OF ENVIRONMENTAL ACCOUNTING"</f>
        <v>HANDBOOK OF ENVIRONMENTAL ACCOUNTING</v>
      </c>
      <c r="B3200" t="str">
        <f>"9781847203847"</f>
        <v>9781847203847</v>
      </c>
      <c r="C3200">
        <v>31.5</v>
      </c>
      <c r="D3200" t="str">
        <f>"GBP"</f>
        <v>GBP</v>
      </c>
      <c r="E3200" t="str">
        <f>"2010"</f>
        <v>2010</v>
      </c>
      <c r="F3200" t="str">
        <f>"THOMAS ARONSSON"</f>
        <v>THOMAS ARONSSON</v>
      </c>
      <c r="G3200" t="str">
        <f>"AsarBartar"</f>
        <v>AsarBartar</v>
      </c>
    </row>
    <row r="3201" spans="1:7" x14ac:dyDescent="0.25">
      <c r="A3201" t="str">
        <f>"HANDBOOK OF ENVIRONMENTAL ACCOUNTING"</f>
        <v>HANDBOOK OF ENVIRONMENTAL ACCOUNTING</v>
      </c>
      <c r="B3201" t="str">
        <f>"9780857931689"</f>
        <v>9780857931689</v>
      </c>
      <c r="C3201">
        <v>9.3000000000000007</v>
      </c>
      <c r="D3201" t="str">
        <f>"GBP"</f>
        <v>GBP</v>
      </c>
      <c r="E3201" t="str">
        <f>"2010"</f>
        <v>2010</v>
      </c>
      <c r="F3201" t="str">
        <f>"ARONSSON, T.   L?FG"</f>
        <v>ARONSSON, T.   L?FG</v>
      </c>
      <c r="G3201" t="str">
        <f>"AsarBartar"</f>
        <v>AsarBartar</v>
      </c>
    </row>
    <row r="3202" spans="1:7" x14ac:dyDescent="0.25">
      <c r="A3202" t="str">
        <f>"Handbook of Environmental Engineering Assessment, Strategy, Planning, and Management"</f>
        <v>Handbook of Environmental Engineering Assessment, Strategy, Planning, and Management</v>
      </c>
      <c r="B3202" t="str">
        <f>"9780128102909"</f>
        <v>9780128102909</v>
      </c>
      <c r="C3202">
        <v>135</v>
      </c>
      <c r="D3202" t="str">
        <f t="shared" ref="D3202:D3208" si="189">"USD"</f>
        <v>USD</v>
      </c>
      <c r="E3202" t="str">
        <f>"2017"</f>
        <v>2017</v>
      </c>
      <c r="F3202" t="str">
        <f>"Jain et al"</f>
        <v>Jain et al</v>
      </c>
      <c r="G3202" t="str">
        <f>"dehkadehketab"</f>
        <v>dehkadehketab</v>
      </c>
    </row>
    <row r="3203" spans="1:7" x14ac:dyDescent="0.25">
      <c r="A3203" t="s">
        <v>13</v>
      </c>
      <c r="B3203" t="str">
        <f>"9788189741976"</f>
        <v>9788189741976</v>
      </c>
      <c r="C3203">
        <v>46.41</v>
      </c>
      <c r="D3203" t="str">
        <f t="shared" si="189"/>
        <v>USD</v>
      </c>
      <c r="E3203" t="str">
        <f>"2009"</f>
        <v>2009</v>
      </c>
      <c r="F3203" t="str">
        <f>"Kumar"</f>
        <v>Kumar</v>
      </c>
      <c r="G3203" t="str">
        <f>"supply"</f>
        <v>supply</v>
      </c>
    </row>
    <row r="3204" spans="1:7" x14ac:dyDescent="0.25">
      <c r="A3204" t="str">
        <f>"Handbook of Knowledge Management for Sustainable Water Systems"</f>
        <v>Handbook of Knowledge Management for Sustainable Water Systems</v>
      </c>
      <c r="B3204" t="str">
        <f>"9781119271635"</f>
        <v>9781119271635</v>
      </c>
      <c r="C3204">
        <v>112.5</v>
      </c>
      <c r="D3204" t="str">
        <f t="shared" si="189"/>
        <v>USD</v>
      </c>
      <c r="E3204" t="str">
        <f>"2018"</f>
        <v>2018</v>
      </c>
      <c r="F3204" t="str">
        <f>"Russ"</f>
        <v>Russ</v>
      </c>
      <c r="G3204" t="str">
        <f>"avanddanesh"</f>
        <v>avanddanesh</v>
      </c>
    </row>
    <row r="3205" spans="1:7" x14ac:dyDescent="0.25">
      <c r="A3205" t="str">
        <f>"Handbook of Laser-Induced Breakdown Spectroscopy,2e"</f>
        <v>Handbook of Laser-Induced Breakdown Spectroscopy,2e</v>
      </c>
      <c r="B3205" t="str">
        <f>"9781119971122"</f>
        <v>9781119971122</v>
      </c>
      <c r="C3205">
        <v>81.3</v>
      </c>
      <c r="D3205" t="str">
        <f t="shared" si="189"/>
        <v>USD</v>
      </c>
      <c r="E3205" t="str">
        <f>"2013"</f>
        <v>2013</v>
      </c>
      <c r="F3205" t="str">
        <f>"Cremers"</f>
        <v>Cremers</v>
      </c>
      <c r="G3205" t="str">
        <f>"avanddanesh"</f>
        <v>avanddanesh</v>
      </c>
    </row>
    <row r="3206" spans="1:7" x14ac:dyDescent="0.25">
      <c r="A3206" t="str">
        <f>"Handbook of Metabolic Pathways of Xenobiotics, 5V Set"</f>
        <v>Handbook of Metabolic Pathways of Xenobiotics, 5V Set</v>
      </c>
      <c r="B3206" t="str">
        <f>"9780470749104"</f>
        <v>9780470749104</v>
      </c>
      <c r="C3206">
        <v>930</v>
      </c>
      <c r="D3206" t="str">
        <f t="shared" si="189"/>
        <v>USD</v>
      </c>
      <c r="E3206" t="str">
        <f>"2014"</f>
        <v>2014</v>
      </c>
      <c r="F3206" t="str">
        <f>"Lee"</f>
        <v>Lee</v>
      </c>
      <c r="G3206" t="str">
        <f>"avanddanesh"</f>
        <v>avanddanesh</v>
      </c>
    </row>
    <row r="3207" spans="1:7" x14ac:dyDescent="0.25">
      <c r="A3207" t="str">
        <f>"Handbook of Pollution Prevention and Cleaner Production Vol. 3: Best Practices in the Agrochemical Industry"</f>
        <v>Handbook of Pollution Prevention and Cleaner Production Vol. 3: Best Practices in the Agrochemical Industry</v>
      </c>
      <c r="B3207" t="str">
        <f>"9780128102251"</f>
        <v>9780128102251</v>
      </c>
      <c r="C3207">
        <v>207</v>
      </c>
      <c r="D3207" t="str">
        <f t="shared" si="189"/>
        <v>USD</v>
      </c>
      <c r="E3207" t="str">
        <f>"2017"</f>
        <v>2017</v>
      </c>
      <c r="F3207" t="str">
        <f>"Cheremisinoff and Ro"</f>
        <v>Cheremisinoff and Ro</v>
      </c>
      <c r="G3207" t="str">
        <f>"dehkadehketab"</f>
        <v>dehkadehketab</v>
      </c>
    </row>
    <row r="3208" spans="1:7" x14ac:dyDescent="0.25">
      <c r="A3208" t="str">
        <f>"Handbook of Recycling, State-of-the-art for Practitioners, Analysts, and Scientists"</f>
        <v>Handbook of Recycling, State-of-the-art for Practitioners, Analysts, and Scientists</v>
      </c>
      <c r="B3208" t="str">
        <f>"9780128100226"</f>
        <v>9780128100226</v>
      </c>
      <c r="C3208">
        <v>135</v>
      </c>
      <c r="D3208" t="str">
        <f t="shared" si="189"/>
        <v>USD</v>
      </c>
      <c r="E3208" t="str">
        <f>"2017"</f>
        <v>2017</v>
      </c>
      <c r="F3208" t="str">
        <f>"Worrell and Reuter"</f>
        <v>Worrell and Reuter</v>
      </c>
      <c r="G3208" t="str">
        <f>"dehkadehketab"</f>
        <v>dehkadehketab</v>
      </c>
    </row>
    <row r="3209" spans="1:7" x14ac:dyDescent="0.25">
      <c r="A3209" t="str">
        <f>"Handbook of Research Methods and Applications in Environmental Studies"</f>
        <v>Handbook of Research Methods and Applications in Environmental Studies</v>
      </c>
      <c r="B3209" t="str">
        <f>"9781783474639"</f>
        <v>9781783474639</v>
      </c>
      <c r="C3209">
        <v>153</v>
      </c>
      <c r="D3209" t="str">
        <f>"GBP"</f>
        <v>GBP</v>
      </c>
      <c r="E3209" t="str">
        <f>"2015"</f>
        <v>2015</v>
      </c>
      <c r="F3209" t="str">
        <f>"Matthias Ruth,Matth"</f>
        <v>Matthias Ruth,Matth</v>
      </c>
      <c r="G3209" t="str">
        <f>"AsarBartar"</f>
        <v>AsarBartar</v>
      </c>
    </row>
    <row r="3210" spans="1:7" x14ac:dyDescent="0.25">
      <c r="A3210" t="str">
        <f>"Handbook of Research on Advancements in Environmental Engineering"</f>
        <v>Handbook of Research on Advancements in Environmental Engineering</v>
      </c>
      <c r="B3210" t="str">
        <f>"9781466673366"</f>
        <v>9781466673366</v>
      </c>
      <c r="C3210">
        <v>224.3</v>
      </c>
      <c r="D3210" t="str">
        <f t="shared" ref="D3210:D3215" si="190">"USD"</f>
        <v>USD</v>
      </c>
      <c r="E3210" t="str">
        <f>"2015"</f>
        <v>2015</v>
      </c>
      <c r="F3210" t="str">
        <f>"NEDILJKA GAURINA-MED"</f>
        <v>NEDILJKA GAURINA-MED</v>
      </c>
      <c r="G3210" t="str">
        <f>"arzinbooks"</f>
        <v>arzinbooks</v>
      </c>
    </row>
    <row r="3211" spans="1:7" x14ac:dyDescent="0.25">
      <c r="A3211" t="str">
        <f>"Handbook of Research on Environmental Policies for Emergency Management and Public Safety"</f>
        <v>Handbook of Research on Environmental Policies for Emergency Management and Public Safety</v>
      </c>
      <c r="B3211" t="str">
        <f>"9781522531944"</f>
        <v>9781522531944</v>
      </c>
      <c r="C3211">
        <v>221.3</v>
      </c>
      <c r="D3211" t="str">
        <f t="shared" si="190"/>
        <v>USD</v>
      </c>
      <c r="E3211" t="str">
        <f>"2018"</f>
        <v>2018</v>
      </c>
      <c r="F3211" t="str">
        <f>"Augustine Nduka Enea"</f>
        <v>Augustine Nduka Enea</v>
      </c>
      <c r="G3211" t="str">
        <f>"arzinbooks"</f>
        <v>arzinbooks</v>
      </c>
    </row>
    <row r="3212" spans="1:7" x14ac:dyDescent="0.25">
      <c r="A3212" t="str">
        <f>"Handbook of Research on Inventive Bioremediation Techniques"</f>
        <v>Handbook of Research on Inventive Bioremediation Techniques</v>
      </c>
      <c r="B3212" t="str">
        <f>"9781522523253"</f>
        <v>9781522523253</v>
      </c>
      <c r="C3212">
        <v>195</v>
      </c>
      <c r="D3212" t="str">
        <f t="shared" si="190"/>
        <v>USD</v>
      </c>
      <c r="E3212" t="str">
        <f>"2017"</f>
        <v>2017</v>
      </c>
      <c r="F3212" t="str">
        <f>"Jatindra Nath Bhakta"</f>
        <v>Jatindra Nath Bhakta</v>
      </c>
      <c r="G3212" t="str">
        <f>"arzinbooks"</f>
        <v>arzinbooks</v>
      </c>
    </row>
    <row r="3213" spans="1:7" x14ac:dyDescent="0.25">
      <c r="A3213" t="str">
        <f>"Handbook of Research on Renewable Energy and Electric Resources for Sustainable Rural Development"</f>
        <v>Handbook of Research on Renewable Energy and Electric Resources for Sustainable Rural Development</v>
      </c>
      <c r="B3213" t="str">
        <f>"9781522538677"</f>
        <v>9781522538677</v>
      </c>
      <c r="C3213">
        <v>258.8</v>
      </c>
      <c r="D3213" t="str">
        <f t="shared" si="190"/>
        <v>USD</v>
      </c>
      <c r="E3213" t="str">
        <f>"2018"</f>
        <v>2018</v>
      </c>
      <c r="F3213" t="str">
        <f>"Valeriy Kharchenko &amp;"</f>
        <v>Valeriy Kharchenko &amp;</v>
      </c>
      <c r="G3213" t="str">
        <f>"arzinbooks"</f>
        <v>arzinbooks</v>
      </c>
    </row>
    <row r="3214" spans="1:7" x14ac:dyDescent="0.25">
      <c r="A3214" t="str">
        <f>"Handbook of Research on Uncovering New Methods for Ecosystem Management through Bioremediation"</f>
        <v>Handbook of Research on Uncovering New Methods for Ecosystem Management through Bioremediation</v>
      </c>
      <c r="B3214" t="str">
        <f>"9781466686823"</f>
        <v>9781466686823</v>
      </c>
      <c r="C3214">
        <v>211.3</v>
      </c>
      <c r="D3214" t="str">
        <f t="shared" si="190"/>
        <v>USD</v>
      </c>
      <c r="E3214" t="str">
        <f>"2015"</f>
        <v>2015</v>
      </c>
      <c r="F3214" t="str">
        <f>"Shivom Singh"</f>
        <v>Shivom Singh</v>
      </c>
      <c r="G3214" t="str">
        <f>"arzinbooks"</f>
        <v>arzinbooks</v>
      </c>
    </row>
    <row r="3215" spans="1:7" x14ac:dyDescent="0.25">
      <c r="A3215" t="str">
        <f>"Handbook of Road Ecology"</f>
        <v>Handbook of Road Ecology</v>
      </c>
      <c r="B3215" t="str">
        <f>"9781118568187"</f>
        <v>9781118568187</v>
      </c>
      <c r="C3215">
        <v>96</v>
      </c>
      <c r="D3215" t="str">
        <f t="shared" si="190"/>
        <v>USD</v>
      </c>
      <c r="E3215" t="str">
        <f>"2015"</f>
        <v>2015</v>
      </c>
      <c r="F3215" t="str">
        <f>"van der Ree"</f>
        <v>van der Ree</v>
      </c>
      <c r="G3215" t="str">
        <f>"avanddanesh"</f>
        <v>avanddanesh</v>
      </c>
    </row>
    <row r="3216" spans="1:7" x14ac:dyDescent="0.25">
      <c r="A3216" t="str">
        <f>"Handbook of Water Economics"</f>
        <v>Handbook of Water Economics</v>
      </c>
      <c r="B3216" t="str">
        <f>"9781782549642"</f>
        <v>9781782549642</v>
      </c>
      <c r="C3216">
        <v>165.75</v>
      </c>
      <c r="D3216" t="str">
        <f>"GBP"</f>
        <v>GBP</v>
      </c>
      <c r="E3216" t="str">
        <f>"2015"</f>
        <v>2015</v>
      </c>
      <c r="F3216" t="str">
        <f>"Ariel Dinar, Kurt S"</f>
        <v>Ariel Dinar, Kurt S</v>
      </c>
      <c r="G3216" t="str">
        <f>"AsarBartar"</f>
        <v>AsarBartar</v>
      </c>
    </row>
    <row r="3217" spans="1:7" x14ac:dyDescent="0.25">
      <c r="A3217" t="str">
        <f>"HANDBOOK OF WATER PURITY AND QUALITY, HB"</f>
        <v>HANDBOOK OF WATER PURITY AND QUALITY, HB</v>
      </c>
      <c r="B3217" t="str">
        <f>"9789380090238"</f>
        <v>9789380090238</v>
      </c>
      <c r="C3217">
        <v>23.24</v>
      </c>
      <c r="D3217" t="str">
        <f>"USD"</f>
        <v>USD</v>
      </c>
      <c r="E3217" t="str">
        <f>"2012"</f>
        <v>2012</v>
      </c>
      <c r="F3217" t="str">
        <f>"Singh"</f>
        <v>Singh</v>
      </c>
      <c r="G3217" t="str">
        <f>"supply"</f>
        <v>supply</v>
      </c>
    </row>
    <row r="3218" spans="1:7" x14ac:dyDescent="0.25">
      <c r="A3218" t="str">
        <f>"Handbook on Agriculture, Biotechnology and Development"</f>
        <v>Handbook on Agriculture, Biotechnology and Development</v>
      </c>
      <c r="B3218" t="str">
        <f>"9780857938343"</f>
        <v>9780857938343</v>
      </c>
      <c r="C3218">
        <v>172</v>
      </c>
      <c r="D3218" t="str">
        <f>"GBP"</f>
        <v>GBP</v>
      </c>
      <c r="E3218" t="str">
        <f>"2014"</f>
        <v>2014</v>
      </c>
      <c r="F3218" t="str">
        <f>"Stuart Smyth(Editor"</f>
        <v>Stuart Smyth(Editor</v>
      </c>
      <c r="G3218" t="str">
        <f>"AsarBartar"</f>
        <v>AsarBartar</v>
      </c>
    </row>
    <row r="3219" spans="1:7" x14ac:dyDescent="0.25">
      <c r="A3219" t="str">
        <f>"Handbook on the Globalisation of Agriculture (Handbooks on Globalisation series)"</f>
        <v>Handbook on the Globalisation of Agriculture (Handbooks on Globalisation series)</v>
      </c>
      <c r="B3219" t="str">
        <f>"9780857939821"</f>
        <v>9780857939821</v>
      </c>
      <c r="C3219">
        <v>127.5</v>
      </c>
      <c r="D3219" t="str">
        <f>"GBP"</f>
        <v>GBP</v>
      </c>
      <c r="E3219" t="str">
        <f>"2015"</f>
        <v>2015</v>
      </c>
      <c r="F3219" t="str">
        <f>"Guy M. Robinson, Do"</f>
        <v>Guy M. Robinson, Do</v>
      </c>
      <c r="G3219" t="str">
        <f>"AsarBartar"</f>
        <v>AsarBartar</v>
      </c>
    </row>
    <row r="3220" spans="1:7" x14ac:dyDescent="0.25">
      <c r="A3220" t="str">
        <f>"Handbook on Water Security"</f>
        <v>Handbook on Water Security</v>
      </c>
      <c r="B3220" t="str">
        <f>"9781782548003"</f>
        <v>9781782548003</v>
      </c>
      <c r="C3220">
        <v>136</v>
      </c>
      <c r="D3220" t="str">
        <f>"GBP"</f>
        <v>GBP</v>
      </c>
      <c r="E3220" t="str">
        <f>"2016"</f>
        <v>2016</v>
      </c>
      <c r="F3220" t="str">
        <f>"Claudia Pahl-Wostl("</f>
        <v>Claudia Pahl-Wostl(</v>
      </c>
      <c r="G3220" t="str">
        <f>"AsarBartar"</f>
        <v>AsarBartar</v>
      </c>
    </row>
    <row r="3221" spans="1:7" x14ac:dyDescent="0.25">
      <c r="A3221" t="str">
        <f>"Hawaiian Volcanoes: From Source to Surface"</f>
        <v>Hawaiian Volcanoes: From Source to Surface</v>
      </c>
      <c r="B3221" t="str">
        <f>"9781118872048"</f>
        <v>9781118872048</v>
      </c>
      <c r="C3221">
        <v>156.80000000000001</v>
      </c>
      <c r="D3221" t="str">
        <f>"USD"</f>
        <v>USD</v>
      </c>
      <c r="E3221" t="str">
        <f>"2015"</f>
        <v>2015</v>
      </c>
      <c r="F3221" t="str">
        <f>"Carey"</f>
        <v>Carey</v>
      </c>
      <c r="G3221" t="str">
        <f>"avanddanesh"</f>
        <v>avanddanesh</v>
      </c>
    </row>
    <row r="3222" spans="1:7" x14ac:dyDescent="0.25">
      <c r="A3222" t="str">
        <f>"Hazardous Air Pollutants: Case Studies from Asia"</f>
        <v>Hazardous Air Pollutants: Case Studies from Asia</v>
      </c>
      <c r="B3222" t="str">
        <f>"9781466593565"</f>
        <v>9781466593565</v>
      </c>
      <c r="C3222">
        <v>75.650000000000006</v>
      </c>
      <c r="D3222" t="str">
        <f>"GBP"</f>
        <v>GBP</v>
      </c>
      <c r="E3222" t="str">
        <f>"2016"</f>
        <v>2016</v>
      </c>
      <c r="F3222" t="str">
        <f>"Dong-Chun Shin(Edit"</f>
        <v>Dong-Chun Shin(Edit</v>
      </c>
      <c r="G3222" t="str">
        <f>"AsarBartar"</f>
        <v>AsarBartar</v>
      </c>
    </row>
    <row r="3223" spans="1:7" x14ac:dyDescent="0.25">
      <c r="A3223" t="str">
        <f>"HDBK of Chemical and Environmental Engineering Calculations"</f>
        <v>HDBK of Chemical and Environmental Engineering Calculations</v>
      </c>
      <c r="B3223" t="str">
        <f>"9780470139028"</f>
        <v>9780470139028</v>
      </c>
      <c r="C3223">
        <v>87</v>
      </c>
      <c r="D3223" t="str">
        <f>"USD"</f>
        <v>USD</v>
      </c>
      <c r="E3223" t="str">
        <f>"2007"</f>
        <v>2007</v>
      </c>
      <c r="F3223" t="str">
        <f>"Joseph Reynolds"</f>
        <v>Joseph Reynolds</v>
      </c>
      <c r="G3223" t="str">
        <f>"safirketab"</f>
        <v>safirketab</v>
      </c>
    </row>
    <row r="3224" spans="1:7" x14ac:dyDescent="0.25">
      <c r="A3224" t="str">
        <f>"Health and Environmental Safety of Nanomaterials, Polymer Nancomposites and Other Materials Containing Nanoparticles"</f>
        <v>Health and Environmental Safety of Nanomaterials, Polymer Nancomposites and Other Materials Containing Nanoparticles</v>
      </c>
      <c r="B3224" t="str">
        <f>"9780081013632"</f>
        <v>9780081013632</v>
      </c>
      <c r="C3224">
        <v>207</v>
      </c>
      <c r="D3224" t="str">
        <f>"USD"</f>
        <v>USD</v>
      </c>
      <c r="E3224" t="str">
        <f>"2017"</f>
        <v>2017</v>
      </c>
      <c r="F3224" t="str">
        <f>"Njuguna et al"</f>
        <v>Njuguna et al</v>
      </c>
      <c r="G3224" t="str">
        <f>"dehkadehketab"</f>
        <v>dehkadehketab</v>
      </c>
    </row>
    <row r="3225" spans="1:7" x14ac:dyDescent="0.25">
      <c r="A3225" t="str">
        <f>"Health Care and Environmental Contamination, Volume11"</f>
        <v>Health Care and Environmental Contamination, Volume11</v>
      </c>
      <c r="B3225" t="str">
        <f>"9780444638571"</f>
        <v>9780444638571</v>
      </c>
      <c r="C3225">
        <v>157.5</v>
      </c>
      <c r="D3225" t="str">
        <f>"USD"</f>
        <v>USD</v>
      </c>
      <c r="E3225" t="str">
        <f>"2018"</f>
        <v>2018</v>
      </c>
      <c r="F3225" t="str">
        <f>"Boxall and Kookana"</f>
        <v>Boxall and Kookana</v>
      </c>
      <c r="G3225" t="str">
        <f>"dehkadehketab"</f>
        <v>dehkadehketab</v>
      </c>
    </row>
    <row r="3226" spans="1:7" x14ac:dyDescent="0.25">
      <c r="A3226" t="str">
        <f>"HILL STREAM ECOLOGY, HB   "</f>
        <v xml:space="preserve">HILL STREAM ECOLOGY, HB   </v>
      </c>
      <c r="B3226" t="str">
        <f>"9788176222419"</f>
        <v>9788176222419</v>
      </c>
      <c r="C3226">
        <v>19.739999999999998</v>
      </c>
      <c r="D3226" t="str">
        <f>"USD"</f>
        <v>USD</v>
      </c>
      <c r="E3226" t="str">
        <f>"2012"</f>
        <v>2012</v>
      </c>
      <c r="F3226" t="str">
        <f>"BHARTI"</f>
        <v>BHARTI</v>
      </c>
      <c r="G3226" t="str">
        <f>"supply"</f>
        <v>supply</v>
      </c>
    </row>
    <row r="3227" spans="1:7" x14ac:dyDescent="0.25">
      <c r="A3227" t="str">
        <f>"HISTORY OF HYDROGEOLOGY"</f>
        <v>HISTORY OF HYDROGEOLOGY</v>
      </c>
      <c r="B3227" t="str">
        <f>"9780415630627"</f>
        <v>9780415630627</v>
      </c>
      <c r="C3227">
        <v>57</v>
      </c>
      <c r="D3227" t="str">
        <f>"GBP"</f>
        <v>GBP</v>
      </c>
      <c r="E3227" t="str">
        <f>"2013"</f>
        <v>2013</v>
      </c>
      <c r="F3227" t="str">
        <f>"HOWDEN"</f>
        <v>HOWDEN</v>
      </c>
      <c r="G3227" t="str">
        <f>"AsarBartar"</f>
        <v>AsarBartar</v>
      </c>
    </row>
    <row r="3228" spans="1:7" x14ac:dyDescent="0.25">
      <c r="A3228" t="str">
        <f>"HOELL: WASSER  9A"</f>
        <v>HOELL: WASSER  9A</v>
      </c>
      <c r="B3228" t="str">
        <f>"9783110226775"</f>
        <v>9783110226775</v>
      </c>
      <c r="C3228">
        <v>38.979999999999997</v>
      </c>
      <c r="D3228" t="str">
        <f>"EUR"</f>
        <v>EUR</v>
      </c>
      <c r="E3228" t="str">
        <f>"2010"</f>
        <v>2010</v>
      </c>
      <c r="F3228" t="str">
        <f>"H?LL, KARL; NIESSNE"</f>
        <v>H?LL, KARL; NIESSNE</v>
      </c>
      <c r="G3228" t="str">
        <f>"AsarBartar"</f>
        <v>AsarBartar</v>
      </c>
    </row>
    <row r="3229" spans="1:7" x14ac:dyDescent="0.25">
      <c r="A3229" t="str">
        <f>"HOLOCENE PALAEOENVIRONMENTAL HISTORY OF THE CENTRAL SAHARA: PALAEOECOLOGY OF AFRICA VOL. 29"</f>
        <v>HOLOCENE PALAEOENVIRONMENTAL HISTORY OF THE CENTRAL SAHARA: PALAEOECOLOGY OF AFRICA VOL. 29</v>
      </c>
      <c r="B3229" t="str">
        <f>"9780415482561"</f>
        <v>9780415482561</v>
      </c>
      <c r="C3229">
        <v>26.7</v>
      </c>
      <c r="D3229" t="str">
        <f>"GBP"</f>
        <v>GBP</v>
      </c>
      <c r="E3229" t="str">
        <f>"2009"</f>
        <v>2009</v>
      </c>
      <c r="F3229" t="str">
        <f>"JURGEN RUNGE(EDITOR"</f>
        <v>JURGEN RUNGE(EDITOR</v>
      </c>
      <c r="G3229" t="str">
        <f>"AsarBartar"</f>
        <v>AsarBartar</v>
      </c>
    </row>
    <row r="3230" spans="1:7" x14ac:dyDescent="0.25">
      <c r="A3230" t="str">
        <f>"Holocene: An Environmental History,3e"</f>
        <v>Holocene: An Environmental History,3e</v>
      </c>
      <c r="B3230" t="str">
        <f>"9781405155212"</f>
        <v>9781405155212</v>
      </c>
      <c r="C3230">
        <v>33.799999999999997</v>
      </c>
      <c r="D3230" t="str">
        <f>"USD"</f>
        <v>USD</v>
      </c>
      <c r="E3230" t="str">
        <f>"2014"</f>
        <v>2014</v>
      </c>
      <c r="F3230" t="str">
        <f>"Roberts"</f>
        <v>Roberts</v>
      </c>
      <c r="G3230" t="str">
        <f>"avanddanesh"</f>
        <v>avanddanesh</v>
      </c>
    </row>
    <row r="3231" spans="1:7" x14ac:dyDescent="0.25">
      <c r="A3231" t="str">
        <f>"Hospital Wastewaters: Characteristics. Management. Treatment and Environmental Risks"</f>
        <v>Hospital Wastewaters: Characteristics. Management. Treatment and Environmental Risks</v>
      </c>
      <c r="B3231" t="str">
        <f>"9783319621777"</f>
        <v>9783319621777</v>
      </c>
      <c r="C3231">
        <v>251.99</v>
      </c>
      <c r="D3231" t="str">
        <f>"EUR"</f>
        <v>EUR</v>
      </c>
      <c r="E3231" t="str">
        <f>"2018"</f>
        <v>2018</v>
      </c>
      <c r="F3231" t="str">
        <f>"Verlicchi"</f>
        <v>Verlicchi</v>
      </c>
      <c r="G3231" t="str">
        <f>"negarestanabi"</f>
        <v>negarestanabi</v>
      </c>
    </row>
    <row r="3232" spans="1:7" x14ac:dyDescent="0.25">
      <c r="A3232" t="str">
        <f>"HOW LOCAL RESILIENCE"</f>
        <v>HOW LOCAL RESILIENCE</v>
      </c>
      <c r="B3232" t="str">
        <f>"9781849714419"</f>
        <v>9781849714419</v>
      </c>
      <c r="C3232">
        <v>13.2</v>
      </c>
      <c r="D3232" t="str">
        <f>"GBP"</f>
        <v>GBP</v>
      </c>
      <c r="E3232" t="str">
        <f>"2012"</f>
        <v>2012</v>
      </c>
      <c r="F3232" t="str">
        <f>"MONAGHAN"</f>
        <v>MONAGHAN</v>
      </c>
      <c r="G3232" t="str">
        <f>"AsarBartar"</f>
        <v>AsarBartar</v>
      </c>
    </row>
    <row r="3233" spans="1:7" x14ac:dyDescent="0.25">
      <c r="A3233" t="str">
        <f>"How Water Influences Our Lives"</f>
        <v>How Water Influences Our Lives</v>
      </c>
      <c r="B3233" t="str">
        <f>"9789811019371"</f>
        <v>9789811019371</v>
      </c>
      <c r="C3233">
        <v>40.49</v>
      </c>
      <c r="D3233" t="str">
        <f>"EUR"</f>
        <v>EUR</v>
      </c>
      <c r="E3233" t="str">
        <f>"2017"</f>
        <v>2017</v>
      </c>
      <c r="F3233" t="str">
        <f>"Jahren"</f>
        <v>Jahren</v>
      </c>
      <c r="G3233" t="str">
        <f>"negarestanabi"</f>
        <v>negarestanabi</v>
      </c>
    </row>
    <row r="3234" spans="1:7" x14ac:dyDescent="0.25">
      <c r="A3234" t="str">
        <f>"HPLC Expert: Possibilities and Limitations of Modern High Performance Liquid Chromatography"</f>
        <v>HPLC Expert: Possibilities and Limitations of Modern High Performance Liquid Chromatography</v>
      </c>
      <c r="B3234" t="str">
        <f>"9783527336814"</f>
        <v>9783527336814</v>
      </c>
      <c r="C3234">
        <v>114.8</v>
      </c>
      <c r="D3234" t="str">
        <f>"USD"</f>
        <v>USD</v>
      </c>
      <c r="E3234" t="str">
        <f>"2016"</f>
        <v>2016</v>
      </c>
      <c r="F3234" t="str">
        <f>"Kromidas"</f>
        <v>Kromidas</v>
      </c>
      <c r="G3234" t="str">
        <f>"avanddanesh"</f>
        <v>avanddanesh</v>
      </c>
    </row>
    <row r="3235" spans="1:7" x14ac:dyDescent="0.25">
      <c r="A3235" t="str">
        <f>"HPLC-Expert II: Optimizing the Benefits of HPLC/UHPLC"</f>
        <v>HPLC-Expert II: Optimizing the Benefits of HPLC/UHPLC</v>
      </c>
      <c r="B3235" t="str">
        <f>"9783527339723"</f>
        <v>9783527339723</v>
      </c>
      <c r="C3235">
        <v>99</v>
      </c>
      <c r="D3235" t="str">
        <f>"USD"</f>
        <v>USD</v>
      </c>
      <c r="E3235" t="str">
        <f>"2017"</f>
        <v>2017</v>
      </c>
      <c r="F3235" t="str">
        <f>"Kromidas"</f>
        <v>Kromidas</v>
      </c>
      <c r="G3235" t="str">
        <f>"avanddanesh"</f>
        <v>avanddanesh</v>
      </c>
    </row>
    <row r="3236" spans="1:7" x14ac:dyDescent="0.25">
      <c r="A3236" t="str">
        <f>"HYBRID MODELS FOR HYDROLOGICAL FORECASTING: INTEGRATION OF DATA-DRIVEN AND CONCEPTUAL MODELLING TECH"</f>
        <v>HYBRID MODELS FOR HYDROLOGICAL FORECASTING: INTEGRATION OF DATA-DRIVEN AND CONCEPTUAL MODELLING TECH</v>
      </c>
      <c r="B3236" t="str">
        <f>"9780415565974"</f>
        <v>9780415565974</v>
      </c>
      <c r="C3236">
        <v>16.79</v>
      </c>
      <c r="D3236" t="str">
        <f>"GBP"</f>
        <v>GBP</v>
      </c>
      <c r="E3236" t="str">
        <f>"2009"</f>
        <v>2009</v>
      </c>
      <c r="F3236" t="str">
        <f>"CORZO PEREZ, GERALD"</f>
        <v>CORZO PEREZ, GERALD</v>
      </c>
      <c r="G3236" t="str">
        <f>"AsarBartar"</f>
        <v>AsarBartar</v>
      </c>
    </row>
    <row r="3237" spans="1:7" x14ac:dyDescent="0.25">
      <c r="A3237" t="str">
        <f>"Hydraulic and Operational Performance of Irrigation Schemes in View of Water Saving and Sustainability: Sugar Estates and Community Managed Schemes i"</f>
        <v>Hydraulic and Operational Performance of Irrigation Schemes in View of Water Saving and Sustainability: Sugar Estates and Community Managed Schemes i</v>
      </c>
      <c r="B3237" t="str">
        <f>"9781138027671"</f>
        <v>9781138027671</v>
      </c>
      <c r="C3237">
        <v>44.2</v>
      </c>
      <c r="D3237" t="str">
        <f>"GBP"</f>
        <v>GBP</v>
      </c>
      <c r="E3237" t="str">
        <f>"2015"</f>
        <v>2015</v>
      </c>
      <c r="F3237" t="str">
        <f>"ZELEKE AGIDE DEJEN"</f>
        <v>ZELEKE AGIDE DEJEN</v>
      </c>
      <c r="G3237" t="str">
        <f>"AsarBartar"</f>
        <v>AsarBartar</v>
      </c>
    </row>
    <row r="3238" spans="1:7" x14ac:dyDescent="0.25">
      <c r="A3238" t="str">
        <f>"Hydraulic Engineering III: Proceedings of the 3rd Technical Conference on Hydraulic Engineering (CHE 2014), Hong Kong, 13-14 December 2014"</f>
        <v>Hydraulic Engineering III: Proceedings of the 3rd Technical Conference on Hydraulic Engineering (CHE 2014), Hong Kong, 13-14 December 2014</v>
      </c>
      <c r="B3238" t="str">
        <f>"9781138027435"</f>
        <v>9781138027435</v>
      </c>
      <c r="C3238">
        <v>118.15</v>
      </c>
      <c r="D3238" t="str">
        <f>"GBP"</f>
        <v>GBP</v>
      </c>
      <c r="E3238" t="str">
        <f>"2015"</f>
        <v>2015</v>
      </c>
      <c r="F3238" t="str">
        <f>"LIQUAN XIE(EDITOR)"</f>
        <v>LIQUAN XIE(EDITOR)</v>
      </c>
      <c r="G3238" t="str">
        <f>"AsarBartar"</f>
        <v>AsarBartar</v>
      </c>
    </row>
    <row r="3239" spans="1:7" x14ac:dyDescent="0.25">
      <c r="A3239" t="str">
        <f>"Hydraulic Engineering V: Proceedings of the 5th International Technical Conference on Hydraulic Engineering (CHE V), December 15-17, 2017, Shanghai, PR China"</f>
        <v>Hydraulic Engineering V: Proceedings of the 5th International Technical Conference on Hydraulic Engineering (CHE V), December 15-17, 2017, Shanghai, PR China</v>
      </c>
      <c r="B3239" t="str">
        <f>"9780815374718"</f>
        <v>9780815374718</v>
      </c>
      <c r="C3239">
        <v>112.5</v>
      </c>
      <c r="D3239" t="str">
        <f>"GBP"</f>
        <v>GBP</v>
      </c>
      <c r="E3239" t="str">
        <f>"2017"</f>
        <v>2017</v>
      </c>
      <c r="F3239" t="str">
        <f>"Hong"</f>
        <v>Hong</v>
      </c>
      <c r="G3239" t="str">
        <f>"sal"</f>
        <v>sal</v>
      </c>
    </row>
    <row r="3240" spans="1:7" x14ac:dyDescent="0.25">
      <c r="A3240" t="str">
        <f>"Hydrodynamics and Water Quality: Modeling Rivers, Lakes, and Estuaries,2e"</f>
        <v>Hydrodynamics and Water Quality: Modeling Rivers, Lakes, and Estuaries,2e</v>
      </c>
      <c r="B3240" t="str">
        <f>"9781118877159"</f>
        <v>9781118877159</v>
      </c>
      <c r="C3240">
        <v>144</v>
      </c>
      <c r="D3240" t="str">
        <f>"USD"</f>
        <v>USD</v>
      </c>
      <c r="E3240" t="str">
        <f>"2017"</f>
        <v>2017</v>
      </c>
      <c r="F3240" t="str">
        <f>"Ji"</f>
        <v>Ji</v>
      </c>
      <c r="G3240" t="str">
        <f>"avanddanesh"</f>
        <v>avanddanesh</v>
      </c>
    </row>
    <row r="3241" spans="1:7" x14ac:dyDescent="0.25">
      <c r="A3241" t="str">
        <f>"Hydrodynamics of Time-Periodic Groundwater Flow: Diffusion Waves in Porous Media"</f>
        <v>Hydrodynamics of Time-Periodic Groundwater Flow: Diffusion Waves in Porous Media</v>
      </c>
      <c r="B3241" t="str">
        <f>"9781119133940"</f>
        <v>9781119133940</v>
      </c>
      <c r="C3241">
        <v>153</v>
      </c>
      <c r="D3241" t="str">
        <f>"USD"</f>
        <v>USD</v>
      </c>
      <c r="E3241" t="str">
        <f>"2017"</f>
        <v>2017</v>
      </c>
      <c r="F3241" t="str">
        <f>"Depner"</f>
        <v>Depner</v>
      </c>
      <c r="G3241" t="str">
        <f>"avanddanesh"</f>
        <v>avanddanesh</v>
      </c>
    </row>
    <row r="3242" spans="1:7" x14ac:dyDescent="0.25">
      <c r="A3242" t="str">
        <f>"Hydro-Environmental Analysis: Freshwater Environments"</f>
        <v>Hydro-Environmental Analysis: Freshwater Environments</v>
      </c>
      <c r="B3242" t="str">
        <f>"9781482206074"</f>
        <v>9781482206074</v>
      </c>
      <c r="C3242">
        <v>84.8</v>
      </c>
      <c r="D3242" t="str">
        <f>"GBP"</f>
        <v>GBP</v>
      </c>
      <c r="E3242" t="str">
        <f>"2014"</f>
        <v>2014</v>
      </c>
      <c r="F3242" t="str">
        <f>"James L. Martin"</f>
        <v>James L. Martin</v>
      </c>
      <c r="G3242" t="str">
        <f>"AsarBartar"</f>
        <v>AsarBartar</v>
      </c>
    </row>
    <row r="3243" spans="1:7" x14ac:dyDescent="0.25">
      <c r="A3243" t="str">
        <f>"Hydrogeochemistry Fundamentals and Advances, V1, Groundwater Composition and Chemistry"</f>
        <v>Hydrogeochemistry Fundamentals and Advances, V1, Groundwater Composition and Chemistry</v>
      </c>
      <c r="B3243" t="str">
        <f>"9781119160397"</f>
        <v>9781119160397</v>
      </c>
      <c r="C3243">
        <v>165.8</v>
      </c>
      <c r="D3243" t="str">
        <f>"USD"</f>
        <v>USD</v>
      </c>
      <c r="E3243" t="str">
        <f>"2016"</f>
        <v>2016</v>
      </c>
      <c r="F3243" t="str">
        <f>"Tikhomirov"</f>
        <v>Tikhomirov</v>
      </c>
      <c r="G3243" t="str">
        <f>"avanddanesh"</f>
        <v>avanddanesh</v>
      </c>
    </row>
    <row r="3244" spans="1:7" x14ac:dyDescent="0.25">
      <c r="A3244" t="str">
        <f>"Hydrogeochemistry Fundamentals and Advances, V2, Mass Transfer and Mass Transport"</f>
        <v>Hydrogeochemistry Fundamentals and Advances, V2, Mass Transfer and Mass Transport</v>
      </c>
      <c r="B3244" t="str">
        <f>"9781119160458"</f>
        <v>9781119160458</v>
      </c>
      <c r="C3244">
        <v>191.3</v>
      </c>
      <c r="D3244" t="str">
        <f>"USD"</f>
        <v>USD</v>
      </c>
      <c r="E3244" t="str">
        <f>"2016"</f>
        <v>2016</v>
      </c>
      <c r="F3244" t="str">
        <f>"Tikhomirov"</f>
        <v>Tikhomirov</v>
      </c>
      <c r="G3244" t="str">
        <f>"avanddanesh"</f>
        <v>avanddanesh</v>
      </c>
    </row>
    <row r="3245" spans="1:7" x14ac:dyDescent="0.25">
      <c r="A3245" t="str">
        <f>"Hydrologic Remote Sensing: Capacity Building for Sustainability and Resilience"</f>
        <v>Hydrologic Remote Sensing: Capacity Building for Sustainability and Resilience</v>
      </c>
      <c r="B3245" t="str">
        <f>"9781498726665"</f>
        <v>9781498726665</v>
      </c>
      <c r="C3245">
        <v>84.15</v>
      </c>
      <c r="D3245" t="str">
        <f>"GBP"</f>
        <v>GBP</v>
      </c>
      <c r="E3245" t="str">
        <f>"2016"</f>
        <v>2016</v>
      </c>
      <c r="F3245" t="str">
        <f>"Yang Hong(Editor) Y"</f>
        <v>Yang Hong(Editor) Y</v>
      </c>
      <c r="G3245" t="str">
        <f>"AsarBartar"</f>
        <v>AsarBartar</v>
      </c>
    </row>
    <row r="3246" spans="1:7" x14ac:dyDescent="0.25">
      <c r="A3246" t="str">
        <f>"Hydrology and Best Practices for Managing Water Resources in Arid and Semi-Arid Lands"</f>
        <v>Hydrology and Best Practices for Managing Water Resources in Arid and Semi-Arid Lands</v>
      </c>
      <c r="B3246" t="str">
        <f>"9781522527190"</f>
        <v>9781522527190</v>
      </c>
      <c r="C3246">
        <v>164</v>
      </c>
      <c r="D3246" t="str">
        <f t="shared" ref="D3246:D3251" si="191">"USD"</f>
        <v>USD</v>
      </c>
      <c r="E3246" t="str">
        <f>"2018"</f>
        <v>2018</v>
      </c>
      <c r="F3246" t="str">
        <f>"Christopher Misati O"</f>
        <v>Christopher Misati O</v>
      </c>
      <c r="G3246" t="str">
        <f>"arzinbooks"</f>
        <v>arzinbooks</v>
      </c>
    </row>
    <row r="3247" spans="1:7" x14ac:dyDescent="0.25">
      <c r="A3247" t="str">
        <f>"Hydrology and Soil Conservation Engineering, 2/e"</f>
        <v>Hydrology and Soil Conservation Engineering, 2/e</v>
      </c>
      <c r="B3247" t="str">
        <f>"9788120335868"</f>
        <v>9788120335868</v>
      </c>
      <c r="C3247">
        <v>11.05</v>
      </c>
      <c r="D3247" t="str">
        <f t="shared" si="191"/>
        <v>USD</v>
      </c>
      <c r="E3247" t="str">
        <f>"2016"</f>
        <v>2016</v>
      </c>
      <c r="F3247" t="str">
        <f>"Das"</f>
        <v>Das</v>
      </c>
      <c r="G3247" t="str">
        <f>"safirketab"</f>
        <v>safirketab</v>
      </c>
    </row>
    <row r="3248" spans="1:7" x14ac:dyDescent="0.25">
      <c r="A3248" t="str">
        <f>"Hydrolysis of Metal Ions"</f>
        <v>Hydrolysis of Metal Ions</v>
      </c>
      <c r="B3248" t="str">
        <f>"9783527330102"</f>
        <v>9783527330102</v>
      </c>
      <c r="C3248">
        <v>378.3</v>
      </c>
      <c r="D3248" t="str">
        <f t="shared" si="191"/>
        <v>USD</v>
      </c>
      <c r="E3248" t="str">
        <f>"2016"</f>
        <v>2016</v>
      </c>
      <c r="F3248" t="str">
        <f>"Brown"</f>
        <v>Brown</v>
      </c>
      <c r="G3248" t="str">
        <f>"avanddanesh"</f>
        <v>avanddanesh</v>
      </c>
    </row>
    <row r="3249" spans="1:7" x14ac:dyDescent="0.25">
      <c r="A3249" t="str">
        <f>"Hydrometeorological Hazards: Interfacing Science and Policy"</f>
        <v>Hydrometeorological Hazards: Interfacing Science and Policy</v>
      </c>
      <c r="B3249" t="str">
        <f>"9781118629574"</f>
        <v>9781118629574</v>
      </c>
      <c r="C3249">
        <v>63.8</v>
      </c>
      <c r="D3249" t="str">
        <f t="shared" si="191"/>
        <v>USD</v>
      </c>
      <c r="E3249" t="str">
        <f>"2014"</f>
        <v>2014</v>
      </c>
      <c r="F3249" t="str">
        <f>"Quevauviller"</f>
        <v>Quevauviller</v>
      </c>
      <c r="G3249" t="str">
        <f>"avanddanesh"</f>
        <v>avanddanesh</v>
      </c>
    </row>
    <row r="3250" spans="1:7" x14ac:dyDescent="0.25">
      <c r="A3250" t="str">
        <f>"Hydrometeorology"</f>
        <v>Hydrometeorology</v>
      </c>
      <c r="B3250" t="str">
        <f>"9781118414972"</f>
        <v>9781118414972</v>
      </c>
      <c r="C3250">
        <v>51</v>
      </c>
      <c r="D3250" t="str">
        <f t="shared" si="191"/>
        <v>USD</v>
      </c>
      <c r="E3250" t="str">
        <f>"2016"</f>
        <v>2016</v>
      </c>
      <c r="F3250" t="str">
        <f>"Collier"</f>
        <v>Collier</v>
      </c>
      <c r="G3250" t="str">
        <f>"avanddanesh"</f>
        <v>avanddanesh</v>
      </c>
    </row>
    <row r="3251" spans="1:7" x14ac:dyDescent="0.25">
      <c r="A3251" t="str">
        <f>"Hydrothermal and Supercritical Water Processes, Volume5"</f>
        <v>Hydrothermal and Supercritical Water Processes, Volume5</v>
      </c>
      <c r="B3251" t="str">
        <f>"9780444594136"</f>
        <v>9780444594136</v>
      </c>
      <c r="C3251">
        <v>202.5</v>
      </c>
      <c r="D3251" t="str">
        <f t="shared" si="191"/>
        <v>USD</v>
      </c>
      <c r="E3251" t="str">
        <f>"2014"</f>
        <v>2014</v>
      </c>
      <c r="F3251" t="str">
        <f>"Brunner"</f>
        <v>Brunner</v>
      </c>
      <c r="G3251" t="str">
        <f>"arang"</f>
        <v>arang</v>
      </c>
    </row>
    <row r="3252" spans="1:7" x14ac:dyDescent="0.25">
      <c r="A3252" t="str">
        <f>"Ichnoentomology: Insect Traces in Soils and Paleosols"</f>
        <v>Ichnoentomology: Insect Traces in Soils and Paleosols</v>
      </c>
      <c r="B3252" t="str">
        <f>"9783319282084"</f>
        <v>9783319282084</v>
      </c>
      <c r="C3252">
        <v>116.99</v>
      </c>
      <c r="D3252" t="str">
        <f>"EUR"</f>
        <v>EUR</v>
      </c>
      <c r="E3252" t="str">
        <f>"2017"</f>
        <v>2017</v>
      </c>
      <c r="F3252" t="str">
        <f>"Genise"</f>
        <v>Genise</v>
      </c>
      <c r="G3252" t="str">
        <f>"negarestanabi"</f>
        <v>negarestanabi</v>
      </c>
    </row>
    <row r="3253" spans="1:7" x14ac:dyDescent="0.25">
      <c r="A3253" t="str">
        <f>"ICRP Publication 132"</f>
        <v>ICRP Publication 132</v>
      </c>
      <c r="B3253" t="str">
        <f>"9781473994201"</f>
        <v>9781473994201</v>
      </c>
      <c r="C3253">
        <v>33.75</v>
      </c>
      <c r="D3253" t="str">
        <f>"GBP"</f>
        <v>GBP</v>
      </c>
      <c r="E3253" t="str">
        <f>"2016"</f>
        <v>2016</v>
      </c>
      <c r="F3253" t="str">
        <f>"Icrp Icrp"</f>
        <v>Icrp Icrp</v>
      </c>
      <c r="G3253" t="str">
        <f>"kowkab"</f>
        <v>kowkab</v>
      </c>
    </row>
    <row r="3254" spans="1:7" x14ac:dyDescent="0.25">
      <c r="A3254" t="str">
        <f>"Imaging Marine Life: Macrophotography and Microscopy Approaches for Marine Biology"</f>
        <v>Imaging Marine Life: Macrophotography and Microscopy Approaches for Marine Biology</v>
      </c>
      <c r="B3254" t="str">
        <f>"9783527327447"</f>
        <v>9783527327447</v>
      </c>
      <c r="C3254">
        <v>114.4</v>
      </c>
      <c r="D3254" t="str">
        <f>"USD"</f>
        <v>USD</v>
      </c>
      <c r="E3254" t="str">
        <f>"2013"</f>
        <v>2013</v>
      </c>
      <c r="F3254" t="str">
        <f>"Reynaud"</f>
        <v>Reynaud</v>
      </c>
      <c r="G3254" t="str">
        <f>"avanddanesh"</f>
        <v>avanddanesh</v>
      </c>
    </row>
    <row r="3255" spans="1:7" x14ac:dyDescent="0.25">
      <c r="A3255" t="str">
        <f>"Imagining Industan: Overcoming Water Insecurity in the Indus Basin"</f>
        <v>Imagining Industan: Overcoming Water Insecurity in the Indus Basin</v>
      </c>
      <c r="B3255" t="str">
        <f>"9783319328430"</f>
        <v>9783319328430</v>
      </c>
      <c r="C3255">
        <v>107.99</v>
      </c>
      <c r="D3255" t="str">
        <f>"EUR"</f>
        <v>EUR</v>
      </c>
      <c r="E3255" t="str">
        <f>"2017"</f>
        <v>2017</v>
      </c>
      <c r="F3255" t="str">
        <f>"Adeel"</f>
        <v>Adeel</v>
      </c>
      <c r="G3255" t="str">
        <f>"negarestanabi"</f>
        <v>negarestanabi</v>
      </c>
    </row>
    <row r="3256" spans="1:7" x14ac:dyDescent="0.25">
      <c r="A3256" t="str">
        <f>"Impact of Meat Consumption on Health and Environmental Sustainability"</f>
        <v>Impact of Meat Consumption on Health and Environmental Sustainability</v>
      </c>
      <c r="B3256" t="str">
        <f>"9781466695535"</f>
        <v>9781466695535</v>
      </c>
      <c r="C3256">
        <v>136.5</v>
      </c>
      <c r="D3256" t="str">
        <f>"USD"</f>
        <v>USD</v>
      </c>
      <c r="E3256" t="str">
        <f>"2016"</f>
        <v>2016</v>
      </c>
      <c r="F3256" t="str">
        <f>"Talia Raphaely"</f>
        <v>Talia Raphaely</v>
      </c>
      <c r="G3256" t="str">
        <f>"arzinbooks"</f>
        <v>arzinbooks</v>
      </c>
    </row>
    <row r="3257" spans="1:7" x14ac:dyDescent="0.25">
      <c r="A3257" t="str">
        <f>"IMPENDING GLOBAL WATER CRISIS, HB"</f>
        <v>IMPENDING GLOBAL WATER CRISIS, HB</v>
      </c>
      <c r="B3257" t="str">
        <f>"9788182743977"</f>
        <v>9788182743977</v>
      </c>
      <c r="C3257">
        <v>22.4</v>
      </c>
      <c r="D3257" t="str">
        <f>"USD"</f>
        <v>USD</v>
      </c>
      <c r="E3257" t="str">
        <f>"2009"</f>
        <v>2009</v>
      </c>
      <c r="F3257" t="str">
        <f>"Nair"</f>
        <v>Nair</v>
      </c>
      <c r="G3257" t="str">
        <f>"supply"</f>
        <v>supply</v>
      </c>
    </row>
    <row r="3258" spans="1:7" x14ac:dyDescent="0.25">
      <c r="A3258" t="str">
        <f>"Implementing Environmental Law (Elgar Intellectual Property Law and Practice Series)"</f>
        <v>Implementing Environmental Law (Elgar Intellectual Property Law and Practice Series)</v>
      </c>
      <c r="B3258" t="str">
        <f>"9781783479290"</f>
        <v>9781783479290</v>
      </c>
      <c r="C3258">
        <v>80.75</v>
      </c>
      <c r="D3258" t="str">
        <f>"GBP"</f>
        <v>GBP</v>
      </c>
      <c r="E3258" t="str">
        <f>"2015"</f>
        <v>2015</v>
      </c>
      <c r="F3258" t="str">
        <f>"Amanda Kennedy(Edit"</f>
        <v>Amanda Kennedy(Edit</v>
      </c>
      <c r="G3258" t="str">
        <f>"AsarBartar"</f>
        <v>AsarBartar</v>
      </c>
    </row>
    <row r="3259" spans="1:7" x14ac:dyDescent="0.25">
      <c r="A3259" t="str">
        <f>"Improving Flood Prediction Assimilating Uncertain Crowdsourced Data into Hydrologic and Hydraulic Models"</f>
        <v>Improving Flood Prediction Assimilating Uncertain Crowdsourced Data into Hydrologic and Hydraulic Models</v>
      </c>
      <c r="B3259" t="str">
        <f>"9781138035904"</f>
        <v>9781138035904</v>
      </c>
      <c r="C3259">
        <v>45</v>
      </c>
      <c r="D3259" t="str">
        <f>"GBP"</f>
        <v>GBP</v>
      </c>
      <c r="E3259" t="str">
        <f>"2017"</f>
        <v>2017</v>
      </c>
      <c r="F3259" t="str">
        <f>"Maurizio Mazzoleni"</f>
        <v>Maurizio Mazzoleni</v>
      </c>
      <c r="G3259" t="str">
        <f>"AsarBartar"</f>
        <v>AsarBartar</v>
      </c>
    </row>
    <row r="3260" spans="1:7" x14ac:dyDescent="0.25">
      <c r="A3260" t="str">
        <f>"IMPROVING IRRIGATION IN ASIA: SUSTAINABLE PERFORMANCE O"</f>
        <v>IMPROVING IRRIGATION IN ASIA: SUSTAINABLE PERFORMANCE O</v>
      </c>
      <c r="B3260" t="str">
        <f>"9781849801447"</f>
        <v>9781849801447</v>
      </c>
      <c r="C3260">
        <v>19.5</v>
      </c>
      <c r="D3260" t="str">
        <f>"GBP"</f>
        <v>GBP</v>
      </c>
      <c r="E3260" t="str">
        <f>"2011"</f>
        <v>2011</v>
      </c>
      <c r="F3260" t="str">
        <f>"GANESH SHIVAKOTI"</f>
        <v>GANESH SHIVAKOTI</v>
      </c>
      <c r="G3260" t="str">
        <f>"AsarBartar"</f>
        <v>AsarBartar</v>
      </c>
    </row>
    <row r="3261" spans="1:7" x14ac:dyDescent="0.25">
      <c r="A3261" t="str">
        <f>"Improving Natural Resource Management: Ecological and Political Models"</f>
        <v>Improving Natural Resource Management: Ecological and Political Models</v>
      </c>
      <c r="B3261" t="str">
        <f>"9780470661130"</f>
        <v>9780470661130</v>
      </c>
      <c r="C3261">
        <v>32</v>
      </c>
      <c r="D3261" t="str">
        <f>"USD"</f>
        <v>USD</v>
      </c>
      <c r="E3261" t="str">
        <f>"2011"</f>
        <v>2011</v>
      </c>
      <c r="F3261" t="str">
        <f>"Haas"</f>
        <v>Haas</v>
      </c>
      <c r="G3261" t="str">
        <f>"safirketab"</f>
        <v>safirketab</v>
      </c>
    </row>
    <row r="3262" spans="1:7" x14ac:dyDescent="0.25">
      <c r="A3262" t="str">
        <f>"Improving Natural Resource Management: Ecological and Political Models"</f>
        <v>Improving Natural Resource Management: Ecological and Political Models</v>
      </c>
      <c r="B3262" t="str">
        <f>"9780470661130"</f>
        <v>9780470661130</v>
      </c>
      <c r="C3262">
        <v>32</v>
      </c>
      <c r="D3262" t="str">
        <f>"USD"</f>
        <v>USD</v>
      </c>
      <c r="E3262" t="str">
        <f>"2011"</f>
        <v>2011</v>
      </c>
      <c r="F3262" t="str">
        <f>"Haas"</f>
        <v>Haas</v>
      </c>
      <c r="G3262" t="str">
        <f>"avanddanesh"</f>
        <v>avanddanesh</v>
      </c>
    </row>
    <row r="3263" spans="1:7" x14ac:dyDescent="0.25">
      <c r="A3263" t="str">
        <f>"IMPROVING TRANSPARENCY, INTEGRITY, AND ACCOUNTABILITY IN WATER SUPPLY AND SANITATION : ACTION, LEARNING, EXPERIENCES"</f>
        <v>IMPROVING TRANSPARENCY, INTEGRITY, AND ACCOUNTABILITY IN WATER SUPPLY AND SANITATION : ACTION, LEARNING, EXPERIENCES</v>
      </c>
      <c r="B3263" t="str">
        <f>"9780821378922"</f>
        <v>9780821378922</v>
      </c>
      <c r="C3263">
        <v>9</v>
      </c>
      <c r="D3263" t="str">
        <f>"USD"</f>
        <v>USD</v>
      </c>
      <c r="E3263" t="str">
        <f>"2009"</f>
        <v>2009</v>
      </c>
      <c r="F3263" t="str">
        <f>"MAR?A GONZ?LEZ DE A"</f>
        <v>MAR?A GONZ?LEZ DE A</v>
      </c>
      <c r="G3263" t="str">
        <f>"AsarBartar"</f>
        <v>AsarBartar</v>
      </c>
    </row>
    <row r="3264" spans="1:7" x14ac:dyDescent="0.25">
      <c r="A3264" t="str">
        <f>"IN THE WAKE OF A LOCAL GOVERNMENT INITIATIVE : Istanbul- Kuecuekcekmece Urban Regeneration Project, HB"</f>
        <v>IN THE WAKE OF A LOCAL GOVERNMENT INITIATIVE : Istanbul- Kuecuekcekmece Urban Regeneration Project, HB</v>
      </c>
      <c r="B3264" t="str">
        <f>"9781845646301"</f>
        <v>9781845646301</v>
      </c>
      <c r="C3264">
        <v>56</v>
      </c>
      <c r="D3264" t="str">
        <f>"GBP"</f>
        <v>GBP</v>
      </c>
      <c r="E3264" t="str">
        <f>"2011"</f>
        <v>2011</v>
      </c>
      <c r="F3264" t="str">
        <f>"Turgut"</f>
        <v>Turgut</v>
      </c>
      <c r="G3264" t="str">
        <f>"supply"</f>
        <v>supply</v>
      </c>
    </row>
    <row r="3265" spans="1:7" x14ac:dyDescent="0.25">
      <c r="A3265" t="str">
        <f>"Industrial Ecology And Sustainable Engin"</f>
        <v>Industrial Ecology And Sustainable Engin</v>
      </c>
      <c r="B3265" t="str">
        <f>"9789332556959"</f>
        <v>9789332556959</v>
      </c>
      <c r="C3265">
        <v>15.3</v>
      </c>
      <c r="D3265" t="str">
        <f t="shared" ref="D3265:D3270" si="192">"USD"</f>
        <v>USD</v>
      </c>
      <c r="E3265" t="str">
        <f>"2015"</f>
        <v>2015</v>
      </c>
      <c r="F3265" t="str">
        <f>"Gradel"</f>
        <v>Gradel</v>
      </c>
      <c r="G3265" t="str">
        <f>"jahanadib"</f>
        <v>jahanadib</v>
      </c>
    </row>
    <row r="3266" spans="1:7" x14ac:dyDescent="0.25">
      <c r="A3266" t="str">
        <f>"Industrial Wastewater Treatment, 2nd ed. "</f>
        <v xml:space="preserve">Industrial Wastewater Treatment, 2nd ed. </v>
      </c>
      <c r="B3266" t="str">
        <f>"9788120353329"</f>
        <v>9788120353329</v>
      </c>
      <c r="C3266">
        <v>10.68</v>
      </c>
      <c r="D3266" t="str">
        <f t="shared" si="192"/>
        <v>USD</v>
      </c>
      <c r="E3266" t="str">
        <f>"2018"</f>
        <v>2018</v>
      </c>
      <c r="F3266" t="str">
        <f>"Patwardhan"</f>
        <v>Patwardhan</v>
      </c>
      <c r="G3266" t="str">
        <f>"negarestanabi"</f>
        <v>negarestanabi</v>
      </c>
    </row>
    <row r="3267" spans="1:7" x14ac:dyDescent="0.25">
      <c r="A3267" t="str">
        <f>"Industrial Wastewater Treatment, Recycling and Reuse"</f>
        <v>Industrial Wastewater Treatment, Recycling and Reuse</v>
      </c>
      <c r="B3267" t="str">
        <f>"9780081013243"</f>
        <v>9780081013243</v>
      </c>
      <c r="C3267">
        <v>126</v>
      </c>
      <c r="D3267" t="str">
        <f t="shared" si="192"/>
        <v>USD</v>
      </c>
      <c r="E3267" t="str">
        <f>"2017"</f>
        <v>2017</v>
      </c>
      <c r="F3267" t="str">
        <f>"Ranade and Bhandari"</f>
        <v>Ranade and Bhandari</v>
      </c>
      <c r="G3267" t="str">
        <f>"dehkadehketab"</f>
        <v>dehkadehketab</v>
      </c>
    </row>
    <row r="3268" spans="1:7" x14ac:dyDescent="0.25">
      <c r="A3268" t="str">
        <f>"Industrial Water Resource Management: Challenges and Opportunities for Corporate Water Stewardship"</f>
        <v>Industrial Water Resource Management: Challenges and Opportunities for Corporate Water Stewardship</v>
      </c>
      <c r="B3268" t="str">
        <f>"9781119272502"</f>
        <v>9781119272502</v>
      </c>
      <c r="C3268">
        <v>112.5</v>
      </c>
      <c r="D3268" t="str">
        <f t="shared" si="192"/>
        <v>USD</v>
      </c>
      <c r="E3268" t="str">
        <f>"2017"</f>
        <v>2017</v>
      </c>
      <c r="F3268" t="str">
        <f>"Sengupta"</f>
        <v>Sengupta</v>
      </c>
      <c r="G3268" t="str">
        <f>"avanddanesh"</f>
        <v>avanddanesh</v>
      </c>
    </row>
    <row r="3269" spans="1:7" x14ac:dyDescent="0.25">
      <c r="A3269" t="str">
        <f>"Industrial Water Treatment Process Technology"</f>
        <v>Industrial Water Treatment Process Technology</v>
      </c>
      <c r="B3269" t="str">
        <f>"9780128103913"</f>
        <v>9780128103913</v>
      </c>
      <c r="C3269">
        <v>135</v>
      </c>
      <c r="D3269" t="str">
        <f t="shared" si="192"/>
        <v>USD</v>
      </c>
      <c r="E3269" t="str">
        <f>"2017"</f>
        <v>2017</v>
      </c>
      <c r="F3269" t="str">
        <f>"Pal"</f>
        <v>Pal</v>
      </c>
      <c r="G3269" t="str">
        <f>"arang"</f>
        <v>arang</v>
      </c>
    </row>
    <row r="3270" spans="1:7" x14ac:dyDescent="0.25">
      <c r="A3270" t="str">
        <f>"Industrial Water Treatment Process Technology"</f>
        <v>Industrial Water Treatment Process Technology</v>
      </c>
      <c r="B3270" t="str">
        <f>"9780128103821"</f>
        <v>9780128103821</v>
      </c>
      <c r="C3270">
        <v>135</v>
      </c>
      <c r="D3270" t="str">
        <f t="shared" si="192"/>
        <v>USD</v>
      </c>
      <c r="E3270" t="str">
        <f>"2017"</f>
        <v>2017</v>
      </c>
      <c r="F3270" t="str">
        <f>"Pal"</f>
        <v>Pal</v>
      </c>
      <c r="G3270" t="str">
        <f>"dehkadehketab"</f>
        <v>dehkadehketab</v>
      </c>
    </row>
    <row r="3271" spans="1:7" x14ac:dyDescent="0.25">
      <c r="A3271" t="str">
        <f>"Information Environmentalism: A Governance Framework for Intellectual Property Rights"</f>
        <v>Information Environmentalism: A Governance Framework for Intellectual Property Rights</v>
      </c>
      <c r="B3271" t="str">
        <f>"9780857938435"</f>
        <v>9780857938435</v>
      </c>
      <c r="C3271">
        <v>68</v>
      </c>
      <c r="D3271" t="str">
        <f>"GBP"</f>
        <v>GBP</v>
      </c>
      <c r="E3271" t="str">
        <f>"2014"</f>
        <v>2014</v>
      </c>
      <c r="F3271" t="str">
        <f>"Robert Cunningham"</f>
        <v>Robert Cunningham</v>
      </c>
      <c r="G3271" t="str">
        <f>"AsarBartar"</f>
        <v>AsarBartar</v>
      </c>
    </row>
    <row r="3272" spans="1:7" x14ac:dyDescent="0.25">
      <c r="A3272" t="str">
        <f>"Information, Communication and Environment: Marine Navigation and Safety of Sea Transportation"</f>
        <v>Information, Communication and Environment: Marine Navigation and Safety of Sea Transportation</v>
      </c>
      <c r="B3272" t="str">
        <f>"9781138028579"</f>
        <v>9781138028579</v>
      </c>
      <c r="C3272">
        <v>56</v>
      </c>
      <c r="D3272" t="str">
        <f>"GBP"</f>
        <v>GBP</v>
      </c>
      <c r="E3272" t="str">
        <f>"2015"</f>
        <v>2015</v>
      </c>
      <c r="F3272" t="str">
        <f>"Adam Weintrit(Edito"</f>
        <v>Adam Weintrit(Edito</v>
      </c>
      <c r="G3272" t="str">
        <f>"AsarBartar"</f>
        <v>AsarBartar</v>
      </c>
    </row>
    <row r="3273" spans="1:7" x14ac:dyDescent="0.25">
      <c r="A3273" t="str">
        <f>"INNOVATIVE FINANCING MECHANISMS FOR THE WATER SECTOR"</f>
        <v>INNOVATIVE FINANCING MECHANISMS FOR THE WATER SECTOR</v>
      </c>
      <c r="B3273" t="str">
        <f>"9781843393672"</f>
        <v>9781843393672</v>
      </c>
      <c r="C3273">
        <v>10.199999999999999</v>
      </c>
      <c r="D3273" t="str">
        <f>"GBP"</f>
        <v>GBP</v>
      </c>
      <c r="E3273" t="str">
        <f>"2010"</f>
        <v>2010</v>
      </c>
      <c r="F3273" t="str">
        <f>"ORGANISATION FOR EC"</f>
        <v>ORGANISATION FOR EC</v>
      </c>
      <c r="G3273" t="str">
        <f>"AsarBartar"</f>
        <v>AsarBartar</v>
      </c>
    </row>
    <row r="3274" spans="1:7" x14ac:dyDescent="0.25">
      <c r="A3274" t="str">
        <f>"Innovative Materials and Methods for Water Treatment: Solutions for Arsenic and Chromium Removal (Sustainable Water Developments - Resources, Managem"</f>
        <v>Innovative Materials and Methods for Water Treatment: Solutions for Arsenic and Chromium Removal (Sustainable Water Developments - Resources, Managem</v>
      </c>
      <c r="B3274" t="str">
        <f>"9781138027497"</f>
        <v>9781138027497</v>
      </c>
      <c r="C3274">
        <v>61.6</v>
      </c>
      <c r="D3274" t="str">
        <f>"GBP"</f>
        <v>GBP</v>
      </c>
      <c r="E3274" t="str">
        <f>"2015"</f>
        <v>2015</v>
      </c>
      <c r="F3274" t="str">
        <f>"JOCHEN BUNDSCHUH(ED"</f>
        <v>JOCHEN BUNDSCHUH(ED</v>
      </c>
      <c r="G3274" t="str">
        <f>"AsarBartar"</f>
        <v>AsarBartar</v>
      </c>
    </row>
    <row r="3275" spans="1:7" x14ac:dyDescent="0.25">
      <c r="A3275" t="str">
        <f>"Innovative Materials and Systems for Energy Harvesting Applications"</f>
        <v>Innovative Materials and Systems for Energy Harvesting Applications</v>
      </c>
      <c r="B3275" t="str">
        <f>"9781466682542"</f>
        <v>9781466682542</v>
      </c>
      <c r="C3275">
        <v>152.80000000000001</v>
      </c>
      <c r="D3275" t="str">
        <f>"USD"</f>
        <v>USD</v>
      </c>
      <c r="E3275" t="str">
        <f>"2015"</f>
        <v>2015</v>
      </c>
      <c r="F3275" t="str">
        <f>"Luciano Mescia"</f>
        <v>Luciano Mescia</v>
      </c>
      <c r="G3275" t="str">
        <f>"arzinbooks"</f>
        <v>arzinbooks</v>
      </c>
    </row>
    <row r="3276" spans="1:7" x14ac:dyDescent="0.25">
      <c r="A3276" t="str">
        <f>"Innovative Strategies and Frameworks in Climate Change Adaptation: Emerging Research and Opportunities"</f>
        <v>Innovative Strategies and Frameworks in Climate Change Adaptation: Emerging Research and Opportunities</v>
      </c>
      <c r="B3276" t="str">
        <f>"9781522527671"</f>
        <v>9781522527671</v>
      </c>
      <c r="C3276">
        <v>123.8</v>
      </c>
      <c r="D3276" t="str">
        <f>"USD"</f>
        <v>USD</v>
      </c>
      <c r="E3276" t="str">
        <f>"2018"</f>
        <v>2018</v>
      </c>
      <c r="F3276" t="str">
        <f>"Alexander G. Flor"</f>
        <v>Alexander G. Flor</v>
      </c>
      <c r="G3276" t="str">
        <f>"arzinbooks"</f>
        <v>arzinbooks</v>
      </c>
    </row>
    <row r="3277" spans="1:7" x14ac:dyDescent="0.25">
      <c r="A3277" t="str">
        <f>"Innovative Technologies for the Treatment of Industrial Wastewater: A Sustainable Approach"</f>
        <v>Innovative Technologies for the Treatment of Industrial Wastewater: A Sustainable Approach</v>
      </c>
      <c r="B3277" t="str">
        <f>"9781771884976"</f>
        <v>9781771884976</v>
      </c>
      <c r="C3277">
        <v>89.1</v>
      </c>
      <c r="D3277" t="str">
        <f>"GBP"</f>
        <v>GBP</v>
      </c>
      <c r="E3277" t="str">
        <f>"2017"</f>
        <v>2017</v>
      </c>
      <c r="F3277" t="str">
        <f>"Sonawane"</f>
        <v>Sonawane</v>
      </c>
      <c r="G3277" t="str">
        <f>"sal"</f>
        <v>sal</v>
      </c>
    </row>
    <row r="3278" spans="1:7" x14ac:dyDescent="0.25">
      <c r="A3278" t="str">
        <f>"Insect Outbreaks Revisited"</f>
        <v>Insect Outbreaks Revisited</v>
      </c>
      <c r="B3278" t="str">
        <f>"9781444337594"</f>
        <v>9781444337594</v>
      </c>
      <c r="C3278">
        <v>60</v>
      </c>
      <c r="D3278" t="str">
        <f>"USD"</f>
        <v>USD</v>
      </c>
      <c r="E3278" t="str">
        <f>"2012"</f>
        <v>2012</v>
      </c>
      <c r="F3278" t="str">
        <f>"Barbosa"</f>
        <v>Barbosa</v>
      </c>
      <c r="G3278" t="str">
        <f>"avanddanesh"</f>
        <v>avanddanesh</v>
      </c>
    </row>
    <row r="3279" spans="1:7" x14ac:dyDescent="0.25">
      <c r="A3279" t="str">
        <f>"Insecticidesâˆ’Soil Microbiota Interactions"</f>
        <v>Insecticidesâˆ’Soil Microbiota Interactions</v>
      </c>
      <c r="B3279" t="str">
        <f>"9783319665887"</f>
        <v>9783319665887</v>
      </c>
      <c r="C3279">
        <v>98.99</v>
      </c>
      <c r="D3279" t="str">
        <f>"EUR"</f>
        <v>EUR</v>
      </c>
      <c r="E3279" t="str">
        <f>"2018"</f>
        <v>2018</v>
      </c>
      <c r="F3279" t="str">
        <f>"Maddela"</f>
        <v>Maddela</v>
      </c>
      <c r="G3279" t="str">
        <f>"negarestanabi"</f>
        <v>negarestanabi</v>
      </c>
    </row>
    <row r="3280" spans="1:7" x14ac:dyDescent="0.25">
      <c r="A3280" t="str">
        <f>"Insects: An Outline of Entomology,5e"</f>
        <v>Insects: An Outline of Entomology,5e</v>
      </c>
      <c r="B3280" t="str">
        <f>"9781118846155"</f>
        <v>9781118846155</v>
      </c>
      <c r="C3280">
        <v>45</v>
      </c>
      <c r="D3280" t="str">
        <f>"USD"</f>
        <v>USD</v>
      </c>
      <c r="E3280" t="str">
        <f>"2014"</f>
        <v>2014</v>
      </c>
      <c r="F3280" t="str">
        <f>"Gullan"</f>
        <v>Gullan</v>
      </c>
      <c r="G3280" t="str">
        <f>"avanddanesh"</f>
        <v>avanddanesh</v>
      </c>
    </row>
    <row r="3281" spans="1:7" x14ac:dyDescent="0.25">
      <c r="A3281" t="str">
        <f>"INSTITUTIONS, STRATEGY AND PERFORMANCE OF WATER SUPPLY AND SANITATION PROVIDERS"</f>
        <v>INSTITUTIONS, STRATEGY AND PERFORMANCE OF WATER SUPPLY AND SANITATION PROVIDERS</v>
      </c>
      <c r="B3281" t="str">
        <f>"9780415551298"</f>
        <v>9780415551298</v>
      </c>
      <c r="C3281">
        <v>13.49</v>
      </c>
      <c r="D3281" t="str">
        <f>"GBP"</f>
        <v>GBP</v>
      </c>
      <c r="E3281" t="str">
        <f>"2009"</f>
        <v>2009</v>
      </c>
      <c r="F3281" t="str">
        <f>"SCHOUTEN, MARCO|"</f>
        <v>SCHOUTEN, MARCO|</v>
      </c>
      <c r="G3281" t="str">
        <f>"AsarBartar"</f>
        <v>AsarBartar</v>
      </c>
    </row>
    <row r="3282" spans="1:7" x14ac:dyDescent="0.25">
      <c r="A3282" t="str">
        <f>"Integrated Assessment of Scale Impacts of Watershed Intervention, Assessing Hydrogeological and Bio-physical Influences on Livelihoods"</f>
        <v>Integrated Assessment of Scale Impacts of Watershed Intervention, Assessing Hydrogeological and Bio-physical Influences on Livelihoods</v>
      </c>
      <c r="B3282" t="str">
        <f>"9780128000670"</f>
        <v>9780128000670</v>
      </c>
      <c r="C3282">
        <v>89.95</v>
      </c>
      <c r="D3282" t="str">
        <f>"USD"</f>
        <v>USD</v>
      </c>
      <c r="E3282" t="str">
        <f>"2014"</f>
        <v>2014</v>
      </c>
      <c r="F3282" t="str">
        <f>"Reddy and Syme"</f>
        <v>Reddy and Syme</v>
      </c>
      <c r="G3282" t="str">
        <f>"arang"</f>
        <v>arang</v>
      </c>
    </row>
    <row r="3283" spans="1:7" x14ac:dyDescent="0.25">
      <c r="A3283" t="str">
        <f>"Integrated Coastal Zone Management: Status. Challenges and Prospects"</f>
        <v>Integrated Coastal Zone Management: Status. Challenges and Prospects</v>
      </c>
      <c r="B3283" t="str">
        <f>"9783658170509"</f>
        <v>9783658170509</v>
      </c>
      <c r="C3283">
        <v>44.99</v>
      </c>
      <c r="D3283" t="str">
        <f>"EUR"</f>
        <v>EUR</v>
      </c>
      <c r="E3283" t="str">
        <f>"2018"</f>
        <v>2018</v>
      </c>
      <c r="F3283" t="str">
        <f>"Ahlhorn"</f>
        <v>Ahlhorn</v>
      </c>
      <c r="G3283" t="str">
        <f>"negarestanabi"</f>
        <v>negarestanabi</v>
      </c>
    </row>
    <row r="3284" spans="1:7" x14ac:dyDescent="0.25">
      <c r="A3284" t="str">
        <f>"INTEGRATED HIGH RESOLUTION IMAGING RADAR AND DECISION S"</f>
        <v>INTEGRATED HIGH RESOLUTION IMAGING RADAR AND DECISION S</v>
      </c>
      <c r="B3284" t="str">
        <f>"9781843393719"</f>
        <v>9781843393719</v>
      </c>
      <c r="C3284">
        <v>25.5</v>
      </c>
      <c r="D3284" t="str">
        <f>"GBP"</f>
        <v>GBP</v>
      </c>
      <c r="E3284" t="str">
        <f>"2010"</f>
        <v>2010</v>
      </c>
      <c r="F3284" t="str">
        <f>"MATTHAIOS BIMPAS, A"</f>
        <v>MATTHAIOS BIMPAS, A</v>
      </c>
      <c r="G3284" t="str">
        <f>"AsarBartar"</f>
        <v>AsarBartar</v>
      </c>
    </row>
    <row r="3285" spans="1:7" x14ac:dyDescent="0.25">
      <c r="A3285" t="s">
        <v>14</v>
      </c>
    </row>
    <row r="3286" spans="1:7" x14ac:dyDescent="0.25">
      <c r="A3286" t="str">
        <f>"9781780648200"</f>
        <v>9781780648200</v>
      </c>
      <c r="B3286">
        <v>131.25</v>
      </c>
      <c r="C3286" t="str">
        <f>"GBP"</f>
        <v>GBP</v>
      </c>
      <c r="D3286" t="str">
        <f>"2017"</f>
        <v>2017</v>
      </c>
      <c r="E3286" t="str">
        <f>"Reddy"</f>
        <v>Reddy</v>
      </c>
      <c r="F3286" t="str">
        <f>"jahanadib"</f>
        <v>jahanadib</v>
      </c>
      <c r="G3286" t="str">
        <f>"ECOLOGY &amp; ENVIRONMENT, WATER SCE"</f>
        <v>ECOLOGY &amp; ENVIRONMENT, WATER SCE</v>
      </c>
    </row>
    <row r="3287" spans="1:7" x14ac:dyDescent="0.25">
      <c r="A3287" t="str">
        <f>"Integrated Solid Waste Management: A Life Cycle Inventory,2e"</f>
        <v>Integrated Solid Waste Management: A Life Cycle Inventory,2e</v>
      </c>
      <c r="B3287" t="str">
        <f>"9780632058891"</f>
        <v>9780632058891</v>
      </c>
      <c r="C3287">
        <v>96</v>
      </c>
      <c r="D3287" t="str">
        <f>"USD"</f>
        <v>USD</v>
      </c>
      <c r="E3287" t="str">
        <f>"2001"</f>
        <v>2001</v>
      </c>
      <c r="F3287" t="str">
        <f>"McDougall"</f>
        <v>McDougall</v>
      </c>
      <c r="G3287" t="str">
        <f>"avanddanesh"</f>
        <v>avanddanesh</v>
      </c>
    </row>
    <row r="3288" spans="1:7" x14ac:dyDescent="0.25">
      <c r="A3288" t="str">
        <f>"Integrated Water Resources Management, Institutions and Livelihoods under Stress: Bottom-up Perspectives from Zimbabwe; UNESCO-IHE PhD Thesis"</f>
        <v>Integrated Water Resources Management, Institutions and Livelihoods under Stress: Bottom-up Perspectives from Zimbabwe; UNESCO-IHE PhD Thesis</v>
      </c>
      <c r="B3288" t="str">
        <f>"9781138000360"</f>
        <v>9781138000360</v>
      </c>
      <c r="C3288">
        <v>32.4</v>
      </c>
      <c r="D3288" t="str">
        <f>"GBP"</f>
        <v>GBP</v>
      </c>
      <c r="E3288" t="str">
        <f>"2013"</f>
        <v>2013</v>
      </c>
      <c r="F3288" t="str">
        <f>"Collin C. Mabiza"</f>
        <v>Collin C. Mabiza</v>
      </c>
      <c r="G3288" t="str">
        <f>"AsarBartar"</f>
        <v>AsarBartar</v>
      </c>
    </row>
    <row r="3289" spans="1:7" x14ac:dyDescent="0.25">
      <c r="A3289" t="str">
        <f>"Integrating Biological Control into Conservation Practice"</f>
        <v>Integrating Biological Control into Conservation Practice</v>
      </c>
      <c r="B3289" t="str">
        <f>"9781118392591"</f>
        <v>9781118392591</v>
      </c>
      <c r="C3289">
        <v>85</v>
      </c>
      <c r="D3289" t="str">
        <f>"USD"</f>
        <v>USD</v>
      </c>
      <c r="E3289" t="str">
        <f>"2016"</f>
        <v>2016</v>
      </c>
      <c r="F3289" t="str">
        <f>"Van Driesche"</f>
        <v>Van Driesche</v>
      </c>
      <c r="G3289" t="str">
        <f>"avanddanesh"</f>
        <v>avanddanesh</v>
      </c>
    </row>
    <row r="3290" spans="1:7" x14ac:dyDescent="0.25">
      <c r="A3290" t="str">
        <f>"Integrating Scale in Remote Sensing and GIS (Remote Sensing Applications Series)"</f>
        <v>Integrating Scale in Remote Sensing and GIS (Remote Sensing Applications Series)</v>
      </c>
      <c r="B3290" t="str">
        <f>"9781482218268"</f>
        <v>9781482218268</v>
      </c>
      <c r="C3290">
        <v>108.9</v>
      </c>
      <c r="D3290" t="str">
        <f>"GBP"</f>
        <v>GBP</v>
      </c>
      <c r="E3290" t="str">
        <f>"2017"</f>
        <v>2017</v>
      </c>
      <c r="F3290" t="str">
        <f>"Dale A. Quattrochi("</f>
        <v>Dale A. Quattrochi(</v>
      </c>
      <c r="G3290" t="str">
        <f>"AsarBartar"</f>
        <v>AsarBartar</v>
      </c>
    </row>
    <row r="3291" spans="1:7" x14ac:dyDescent="0.25">
      <c r="A3291" t="str">
        <f>"Integrative Organismal Biology"</f>
        <v>Integrative Organismal Biology</v>
      </c>
      <c r="B3291" t="str">
        <f>"9781118398784"</f>
        <v>9781118398784</v>
      </c>
      <c r="C3291">
        <v>107.2</v>
      </c>
      <c r="D3291" t="str">
        <f>"USD"</f>
        <v>USD</v>
      </c>
      <c r="E3291" t="str">
        <f>"2015"</f>
        <v>2015</v>
      </c>
      <c r="F3291" t="str">
        <f>"Martin"</f>
        <v>Martin</v>
      </c>
      <c r="G3291" t="str">
        <f>"avanddanesh"</f>
        <v>avanddanesh</v>
      </c>
    </row>
    <row r="3292" spans="1:7" x14ac:dyDescent="0.25">
      <c r="A3292" t="str">
        <f>"Interdisciplinary Environmental Studies: A Primer"</f>
        <v>Interdisciplinary Environmental Studies: A Primer</v>
      </c>
      <c r="B3292" t="str">
        <f>"9781444336870"</f>
        <v>9781444336870</v>
      </c>
      <c r="C3292">
        <v>20</v>
      </c>
      <c r="D3292" t="str">
        <f>"USD"</f>
        <v>USD</v>
      </c>
      <c r="E3292" t="str">
        <f>"2010"</f>
        <v>2010</v>
      </c>
      <c r="F3292" t="str">
        <f>"Oberg"</f>
        <v>Oberg</v>
      </c>
      <c r="G3292" t="str">
        <f>"avanddanesh"</f>
        <v>avanddanesh</v>
      </c>
    </row>
    <row r="3293" spans="1:7" x14ac:dyDescent="0.25">
      <c r="A3293" t="str">
        <f>"Intermittent Rivers and Ephemeral Streams, Ecology and Management"</f>
        <v>Intermittent Rivers and Ephemeral Streams, Ecology and Management</v>
      </c>
      <c r="B3293" t="str">
        <f>"9780128038352"</f>
        <v>9780128038352</v>
      </c>
      <c r="C3293">
        <v>108</v>
      </c>
      <c r="D3293" t="str">
        <f>"USD"</f>
        <v>USD</v>
      </c>
      <c r="E3293" t="str">
        <f>"2017"</f>
        <v>2017</v>
      </c>
      <c r="F3293" t="str">
        <f>"Datry et al"</f>
        <v>Datry et al</v>
      </c>
      <c r="G3293" t="str">
        <f>"arang"</f>
        <v>arang</v>
      </c>
    </row>
    <row r="3294" spans="1:7" x14ac:dyDescent="0.25">
      <c r="A3294" t="str">
        <f>"Intermittent Rivers and Ephemeral Streams, Ecology and Management"</f>
        <v>Intermittent Rivers and Ephemeral Streams, Ecology and Management</v>
      </c>
      <c r="B3294" t="str">
        <f>"9780128038147"</f>
        <v>9780128038147</v>
      </c>
      <c r="C3294">
        <v>108</v>
      </c>
      <c r="D3294" t="str">
        <f>"USD"</f>
        <v>USD</v>
      </c>
      <c r="E3294" t="str">
        <f>"2017"</f>
        <v>2017</v>
      </c>
      <c r="F3294" t="str">
        <f>"Datry et al"</f>
        <v>Datry et al</v>
      </c>
      <c r="G3294" t="str">
        <f>"dehkadehketab"</f>
        <v>dehkadehketab</v>
      </c>
    </row>
    <row r="3295" spans="1:7" x14ac:dyDescent="0.25">
      <c r="A3295" t="str">
        <f>"INTERNATIONAL CONFERENCE ON NUTRIENT RECOVERY FROM WAST"</f>
        <v>INTERNATIONAL CONFERENCE ON NUTRIENT RECOVERY FROM WAST</v>
      </c>
      <c r="B3295" t="str">
        <f>"9781843392323"</f>
        <v>9781843392323</v>
      </c>
      <c r="C3295">
        <v>58.2</v>
      </c>
      <c r="D3295" t="str">
        <f>"GBP"</f>
        <v>GBP</v>
      </c>
      <c r="E3295" t="str">
        <f>"2009"</f>
        <v>2009</v>
      </c>
      <c r="F3295" t="str">
        <f>"KEN ASHLEY, DON MAV"</f>
        <v>KEN ASHLEY, DON MAV</v>
      </c>
      <c r="G3295" t="str">
        <f>"AsarBartar"</f>
        <v>AsarBartar</v>
      </c>
    </row>
    <row r="3296" spans="1:7" x14ac:dyDescent="0.25">
      <c r="A3296" t="str">
        <f>"INTERNATIONAL ENCYCLOPAEDIA OF ENVIRONMENTAL POLLUTION CONTROL &amp; LAW, Set of 3 vols, HB"</f>
        <v>INTERNATIONAL ENCYCLOPAEDIA OF ENVIRONMENTAL POLLUTION CONTROL &amp; LAW, Set of 3 vols, HB</v>
      </c>
      <c r="B3296" t="str">
        <f>"9788126130542"</f>
        <v>9788126130542</v>
      </c>
      <c r="C3296">
        <v>65.66</v>
      </c>
      <c r="D3296" t="str">
        <f>"USD"</f>
        <v>USD</v>
      </c>
      <c r="E3296" t="str">
        <f>"2006"</f>
        <v>2006</v>
      </c>
      <c r="F3296" t="str">
        <f>"Sinha"</f>
        <v>Sinha</v>
      </c>
      <c r="G3296" t="str">
        <f>"supply"</f>
        <v>supply</v>
      </c>
    </row>
    <row r="3297" spans="1:7" x14ac:dyDescent="0.25">
      <c r="A3297" t="str">
        <f>"International Encyclopedia of Geography: People, the Earth, Environment and Technology, 15V Set"</f>
        <v>International Encyclopedia of Geography: People, the Earth, Environment and Technology, 15V Set</v>
      </c>
      <c r="B3297" t="str">
        <f>"9780470659632"</f>
        <v>9780470659632</v>
      </c>
      <c r="C3297">
        <v>2695.5</v>
      </c>
      <c r="D3297" t="str">
        <f>"USD"</f>
        <v>USD</v>
      </c>
      <c r="E3297" t="str">
        <f>"2017"</f>
        <v>2017</v>
      </c>
      <c r="F3297" t="str">
        <f>"Richardson"</f>
        <v>Richardson</v>
      </c>
      <c r="G3297" t="str">
        <f>"avanddanesh"</f>
        <v>avanddanesh</v>
      </c>
    </row>
    <row r="3298" spans="1:7" x14ac:dyDescent="0.25">
      <c r="A3298" t="str">
        <f>"International Environmental Law and the Global SouthÂ "</f>
        <v>International Environmental Law and the Global SouthÂ </v>
      </c>
      <c r="B3298" t="str">
        <f>"9781316621042"</f>
        <v>9781316621042</v>
      </c>
      <c r="C3298">
        <v>24.8</v>
      </c>
      <c r="D3298" t="str">
        <f t="shared" ref="D3298:D3303" si="193">"GBP"</f>
        <v>GBP</v>
      </c>
      <c r="E3298" t="str">
        <f>"2016"</f>
        <v>2016</v>
      </c>
      <c r="F3298" t="str">
        <f>"Shawkat Alam , Sumud"</f>
        <v>Shawkat Alam , Sumud</v>
      </c>
      <c r="G3298" t="str">
        <f>"arzinbooks"</f>
        <v>arzinbooks</v>
      </c>
    </row>
    <row r="3299" spans="1:7" x14ac:dyDescent="0.25">
      <c r="A3299" t="str">
        <f>"International Environmental Law in a Nutshell"</f>
        <v>International Environmental Law in a Nutshell</v>
      </c>
      <c r="B3299" t="str">
        <f>"9781683280965"</f>
        <v>9781683280965</v>
      </c>
      <c r="C3299">
        <v>39.6</v>
      </c>
      <c r="D3299" t="str">
        <f t="shared" si="193"/>
        <v>GBP</v>
      </c>
      <c r="E3299" t="str">
        <f>"2017"</f>
        <v>2017</v>
      </c>
      <c r="F3299" t="str">
        <f>"Lakshman Guruswamy"</f>
        <v>Lakshman Guruswamy</v>
      </c>
      <c r="G3299" t="str">
        <f>"arzinbooks"</f>
        <v>arzinbooks</v>
      </c>
    </row>
    <row r="3300" spans="1:7" x14ac:dyDescent="0.25">
      <c r="A3300" t="str">
        <f>"International Perspectives on Industrial Ecology (Studies on the Social Dimensions of Industrial Ecology series)"</f>
        <v>International Perspectives on Industrial Ecology (Studies on the Social Dimensions of Industrial Ecology series)</v>
      </c>
      <c r="B3300" t="str">
        <f>"9781781003565"</f>
        <v>9781781003565</v>
      </c>
      <c r="C3300">
        <v>68</v>
      </c>
      <c r="D3300" t="str">
        <f t="shared" si="193"/>
        <v>GBP</v>
      </c>
      <c r="E3300" t="str">
        <f>"2015"</f>
        <v>2015</v>
      </c>
      <c r="F3300" t="str">
        <f>"Pauline Deutz,Donal"</f>
        <v>Pauline Deutz,Donal</v>
      </c>
      <c r="G3300" t="str">
        <f>"AsarBartar"</f>
        <v>AsarBartar</v>
      </c>
    </row>
    <row r="3301" spans="1:7" x14ac:dyDescent="0.25">
      <c r="A3301" t="str">
        <f>"International Solutions to Sustainable Energy, Policies and Applications"</f>
        <v>International Solutions to Sustainable Energy, Policies and Applications</v>
      </c>
      <c r="B3301" t="str">
        <f>"9780815381020"</f>
        <v>9780815381020</v>
      </c>
      <c r="C3301">
        <v>89.99</v>
      </c>
      <c r="D3301" t="str">
        <f t="shared" si="193"/>
        <v>GBP</v>
      </c>
      <c r="E3301" t="str">
        <f>"2018"</f>
        <v>2018</v>
      </c>
      <c r="F3301" t="str">
        <f>"Roosa"</f>
        <v>Roosa</v>
      </c>
      <c r="G3301" t="str">
        <f>"sal"</f>
        <v>sal</v>
      </c>
    </row>
    <row r="3302" spans="1:7" x14ac:dyDescent="0.25">
      <c r="A3302" t="str">
        <f>"INTERNATIONAL SUPPORT FOR DOMESTIC CLIMATE POLICIES IN DEVELOPING COUNTRIES, VOL. 9"</f>
        <v>INTERNATIONAL SUPPORT FOR DOMESTIC CLIMATE POLICIES IN DEVELOPING COUNTRIES, VOL. 9</v>
      </c>
      <c r="B3302" t="str">
        <f>"9781844078721"</f>
        <v>9781844078721</v>
      </c>
      <c r="C3302">
        <v>25.5</v>
      </c>
      <c r="D3302" t="str">
        <f t="shared" si="193"/>
        <v>GBP</v>
      </c>
      <c r="E3302" t="str">
        <f>"2009"</f>
        <v>2009</v>
      </c>
      <c r="F3302" t="str">
        <f>"KARSTEN M. NEUHOFF"</f>
        <v>KARSTEN M. NEUHOFF</v>
      </c>
      <c r="G3302" t="str">
        <f>"AsarBartar"</f>
        <v>AsarBartar</v>
      </c>
    </row>
    <row r="3303" spans="1:7" x14ac:dyDescent="0.25">
      <c r="A3303" t="str">
        <f>"Interpreting Environmental Offences : The Need for Certainty"</f>
        <v>Interpreting Environmental Offences : The Need for Certainty</v>
      </c>
      <c r="B3303" t="str">
        <f>"9781849467377"</f>
        <v>9781849467377</v>
      </c>
      <c r="C3303">
        <v>45.5</v>
      </c>
      <c r="D3303" t="str">
        <f t="shared" si="193"/>
        <v>GBP</v>
      </c>
      <c r="E3303" t="str">
        <f>"2015"</f>
        <v>2015</v>
      </c>
      <c r="F3303" t="str">
        <f>"Emma Lees"</f>
        <v>Emma Lees</v>
      </c>
      <c r="G3303" t="str">
        <f>"arzinbooks"</f>
        <v>arzinbooks</v>
      </c>
    </row>
    <row r="3304" spans="1:7" x14ac:dyDescent="0.25">
      <c r="A3304" t="str">
        <f>"Intro. to Modeling in Wildlife and Resource Conservation"</f>
        <v>Intro. to Modeling in Wildlife and Resource Conservation</v>
      </c>
      <c r="B3304" t="str">
        <f>"9781405144391"</f>
        <v>9781405144391</v>
      </c>
      <c r="C3304">
        <v>35.97</v>
      </c>
      <c r="D3304" t="str">
        <f>"USD"</f>
        <v>USD</v>
      </c>
      <c r="E3304" t="str">
        <f>"2007"</f>
        <v>2007</v>
      </c>
      <c r="F3304" t="str">
        <f>"Owen-Smith"</f>
        <v>Owen-Smith</v>
      </c>
      <c r="G3304" t="str">
        <f>"safirketab"</f>
        <v>safirketab</v>
      </c>
    </row>
    <row r="3305" spans="1:7" x14ac:dyDescent="0.25">
      <c r="A3305" t="str">
        <f>"Intro. to Wildlife Conservation in Farming"</f>
        <v>Intro. to Wildlife Conservation in Farming</v>
      </c>
      <c r="B3305" t="str">
        <f>"9780470699348"</f>
        <v>9780470699348</v>
      </c>
      <c r="C3305">
        <v>49.46</v>
      </c>
      <c r="D3305" t="str">
        <f>"USD"</f>
        <v>USD</v>
      </c>
      <c r="E3305" t="str">
        <f>"2010"</f>
        <v>2010</v>
      </c>
      <c r="F3305" t="str">
        <f>"Burchett"</f>
        <v>Burchett</v>
      </c>
      <c r="G3305" t="str">
        <f>"safirketab"</f>
        <v>safirketab</v>
      </c>
    </row>
    <row r="3306" spans="1:7" x14ac:dyDescent="0.25">
      <c r="A3306" t="str">
        <f>"Introduction to Bioenergy (Energy and the Environment)"</f>
        <v>Introduction to Bioenergy (Energy and the Environment)</v>
      </c>
      <c r="B3306" t="str">
        <f>"9781498716987"</f>
        <v>9781498716987</v>
      </c>
      <c r="C3306">
        <v>69.7</v>
      </c>
      <c r="D3306" t="str">
        <f>"GBP"</f>
        <v>GBP</v>
      </c>
      <c r="E3306" t="str">
        <f>"2016"</f>
        <v>2016</v>
      </c>
      <c r="F3306" t="str">
        <f>"Vaughn C. Nelson,Ke"</f>
        <v>Vaughn C. Nelson,Ke</v>
      </c>
      <c r="G3306" t="str">
        <f>"AsarBartar"</f>
        <v>AsarBartar</v>
      </c>
    </row>
    <row r="3307" spans="1:7" x14ac:dyDescent="0.25">
      <c r="A3307" t="str">
        <f>"Introduction to Computing Applications in Forestry and Natural Resource Management"</f>
        <v>Introduction to Computing Applications in Forestry and Natural Resource Management</v>
      </c>
      <c r="B3307" t="str">
        <f>"9781138626300"</f>
        <v>9781138626300</v>
      </c>
      <c r="C3307">
        <v>90</v>
      </c>
      <c r="D3307" t="str">
        <f>"GBP"</f>
        <v>GBP</v>
      </c>
      <c r="E3307" t="str">
        <f>"2017"</f>
        <v>2017</v>
      </c>
      <c r="F3307" t="str">
        <f>"Wang"</f>
        <v>Wang</v>
      </c>
      <c r="G3307" t="str">
        <f>"sal"</f>
        <v>sal</v>
      </c>
    </row>
    <row r="3308" spans="1:7" x14ac:dyDescent="0.25">
      <c r="A3308" t="str">
        <f>"Introduction to Energy : Resources, Technology, and Society"</f>
        <v>Introduction to Energy : Resources, Technology, and Society</v>
      </c>
      <c r="B3308" t="str">
        <f>"9781107605046"</f>
        <v>9781107605046</v>
      </c>
      <c r="C3308">
        <v>40.799999999999997</v>
      </c>
      <c r="D3308" t="str">
        <f>"GBP"</f>
        <v>GBP</v>
      </c>
      <c r="E3308" t="str">
        <f>"2017"</f>
        <v>2017</v>
      </c>
      <c r="F3308" t="str">
        <f>"Cassedy"</f>
        <v>Cassedy</v>
      </c>
      <c r="G3308" t="str">
        <f>"arzinbooks"</f>
        <v>arzinbooks</v>
      </c>
    </row>
    <row r="3309" spans="1:7" x14ac:dyDescent="0.25">
      <c r="A3309" t="str">
        <f>"Introduction to Energy and Climate: Developing a Sustainable Environment"</f>
        <v>Introduction to Energy and Climate: Developing a Sustainable Environment</v>
      </c>
      <c r="B3309" t="str">
        <f>"9781498774390"</f>
        <v>9781498774390</v>
      </c>
      <c r="C3309">
        <v>90</v>
      </c>
      <c r="D3309" t="str">
        <f>"GBP"</f>
        <v>GBP</v>
      </c>
      <c r="E3309" t="str">
        <f>"2017"</f>
        <v>2017</v>
      </c>
      <c r="F3309" t="str">
        <f>"KERR"</f>
        <v>KERR</v>
      </c>
      <c r="G3309" t="str">
        <f>"sal"</f>
        <v>sal</v>
      </c>
    </row>
    <row r="3310" spans="1:7" x14ac:dyDescent="0.25">
      <c r="A3310" t="str">
        <f>"Introduction to Environment Management, 3/e"</f>
        <v>Introduction to Environment Management, 3/e</v>
      </c>
      <c r="B3310" t="str">
        <f>"9788120350700"</f>
        <v>9788120350700</v>
      </c>
      <c r="C3310">
        <v>12.75</v>
      </c>
      <c r="D3310" t="str">
        <f>"USD"</f>
        <v>USD</v>
      </c>
      <c r="E3310" t="str">
        <f>"2015"</f>
        <v>2015</v>
      </c>
      <c r="F3310" t="str">
        <f>"Sulphey"</f>
        <v>Sulphey</v>
      </c>
      <c r="G3310" t="str">
        <f>"jahanadib"</f>
        <v>jahanadib</v>
      </c>
    </row>
    <row r="3311" spans="1:7" x14ac:dyDescent="0.25">
      <c r="A3311" t="str">
        <f>"Introduction to Environment Management, 3/ed"</f>
        <v>Introduction to Environment Management, 3/ed</v>
      </c>
      <c r="B3311" t="str">
        <f>"9788120350700"</f>
        <v>9788120350700</v>
      </c>
      <c r="C3311">
        <v>9.8699999999999992</v>
      </c>
      <c r="D3311" t="str">
        <f>"USD"</f>
        <v>USD</v>
      </c>
      <c r="E3311" t="str">
        <f>"2015"</f>
        <v>2015</v>
      </c>
      <c r="F3311" t="str">
        <f>"Sulphey &amp; Safeer"</f>
        <v>Sulphey &amp; Safeer</v>
      </c>
      <c r="G3311" t="str">
        <f>"negarestanabi"</f>
        <v>negarestanabi</v>
      </c>
    </row>
    <row r="3312" spans="1:7" x14ac:dyDescent="0.25">
      <c r="A3312" t="str">
        <f>"Introduction to Environment Management, 4th ed.â€…  "</f>
        <v xml:space="preserve">Introduction to Environment Management, 4th ed.â€…  </v>
      </c>
      <c r="B3312" t="str">
        <f>"9788120353510"</f>
        <v>9788120353510</v>
      </c>
      <c r="C3312">
        <v>13.97</v>
      </c>
      <c r="D3312" t="str">
        <f>"USD"</f>
        <v>USD</v>
      </c>
      <c r="E3312" t="str">
        <f>"2018"</f>
        <v>2018</v>
      </c>
      <c r="F3312" t="str">
        <f>"Sulphey &amp; Safeer"</f>
        <v>Sulphey &amp; Safeer</v>
      </c>
      <c r="G3312" t="str">
        <f>"negarestanabi"</f>
        <v>negarestanabi</v>
      </c>
    </row>
    <row r="3313" spans="1:7" x14ac:dyDescent="0.25">
      <c r="A3313" t="str">
        <f>"Introduction to Environmental Geotechnology, Second Edition"</f>
        <v>Introduction to Environmental Geotechnology, Second Edition</v>
      </c>
      <c r="B3313" t="str">
        <f>"9781439837306"</f>
        <v>9781439837306</v>
      </c>
      <c r="C3313">
        <v>49.3</v>
      </c>
      <c r="D3313" t="str">
        <f>"GBP"</f>
        <v>GBP</v>
      </c>
      <c r="E3313" t="str">
        <f>"2016"</f>
        <v>2016</v>
      </c>
      <c r="F3313" t="str">
        <f>"Hsai-Yang Fang,Rona"</f>
        <v>Hsai-Yang Fang,Rona</v>
      </c>
      <c r="G3313" t="str">
        <f>"AsarBartar"</f>
        <v>AsarBartar</v>
      </c>
    </row>
    <row r="3314" spans="1:7" x14ac:dyDescent="0.25">
      <c r="A3314" t="str">
        <f>"Introduction to Environmental ModelingÂ "</f>
        <v>Introduction to Environmental ModelingÂ </v>
      </c>
      <c r="B3314" t="str">
        <f>"9781107571693"</f>
        <v>9781107571693</v>
      </c>
      <c r="C3314">
        <v>45</v>
      </c>
      <c r="D3314" t="str">
        <f>"GBP"</f>
        <v>GBP</v>
      </c>
      <c r="E3314" t="str">
        <f>"2017"</f>
        <v>2017</v>
      </c>
      <c r="F3314" t="str">
        <f>"William G. Gray , Ge"</f>
        <v>William G. Gray , Ge</v>
      </c>
      <c r="G3314" t="str">
        <f>"arzinbooks"</f>
        <v>arzinbooks</v>
      </c>
    </row>
    <row r="3315" spans="1:7" x14ac:dyDescent="0.25">
      <c r="A3315" t="str">
        <f>"Introduction to Finite Element Analysis for Engineers"</f>
        <v>Introduction to Finite Element Analysis for Engineers</v>
      </c>
      <c r="B3315" t="str">
        <f>"9781138030176"</f>
        <v>9781138030176</v>
      </c>
      <c r="C3315">
        <v>89.1</v>
      </c>
      <c r="D3315" t="str">
        <f>"GBP"</f>
        <v>GBP</v>
      </c>
      <c r="E3315" t="str">
        <f>"2017"</f>
        <v>2017</v>
      </c>
      <c r="F3315" t="str">
        <f>"RAGAB"</f>
        <v>RAGAB</v>
      </c>
      <c r="G3315" t="str">
        <f>"sal"</f>
        <v>sal</v>
      </c>
    </row>
    <row r="3316" spans="1:7" x14ac:dyDescent="0.25">
      <c r="A3316" t="str">
        <f>"Introduction to GIS Programming and Fundamentals with Python and ArcGISÂ®"</f>
        <v>Introduction to GIS Programming and Fundamentals with Python and ArcGISÂ®</v>
      </c>
      <c r="B3316" t="str">
        <f>"9781466510081"</f>
        <v>9781466510081</v>
      </c>
      <c r="C3316">
        <v>57.59</v>
      </c>
      <c r="D3316" t="str">
        <f>"GBP"</f>
        <v>GBP</v>
      </c>
      <c r="E3316" t="str">
        <f>"2017"</f>
        <v>2017</v>
      </c>
      <c r="F3316" t="str">
        <f>"YANG"</f>
        <v>YANG</v>
      </c>
      <c r="G3316" t="str">
        <f>"sal"</f>
        <v>sal</v>
      </c>
    </row>
    <row r="3317" spans="1:7" x14ac:dyDescent="0.25">
      <c r="A3317" t="str">
        <f>"Introduction to Mathematical Methods for Environmental Engineers and Scientists"</f>
        <v>Introduction to Mathematical Methods for Environmental Engineers and Scientists</v>
      </c>
      <c r="B3317" t="str">
        <f>"9781119363491"</f>
        <v>9781119363491</v>
      </c>
      <c r="C3317">
        <v>175.5</v>
      </c>
      <c r="D3317" t="str">
        <f>"USD"</f>
        <v>USD</v>
      </c>
      <c r="E3317" t="str">
        <f>"2018"</f>
        <v>2018</v>
      </c>
      <c r="F3317" t="str">
        <f>"Prochaska"</f>
        <v>Prochaska</v>
      </c>
      <c r="G3317" t="str">
        <f>"avanddanesh"</f>
        <v>avanddanesh</v>
      </c>
    </row>
    <row r="3318" spans="1:7" x14ac:dyDescent="0.25">
      <c r="A3318" t="str">
        <f>"Introduction to Population Ecology,2e"</f>
        <v>Introduction to Population Ecology,2e</v>
      </c>
      <c r="B3318" t="str">
        <f>"9781118947579"</f>
        <v>9781118947579</v>
      </c>
      <c r="C3318">
        <v>48</v>
      </c>
      <c r="D3318" t="str">
        <f>"USD"</f>
        <v>USD</v>
      </c>
      <c r="E3318" t="str">
        <f>"2015"</f>
        <v>2015</v>
      </c>
      <c r="F3318" t="str">
        <f>"Rockwood"</f>
        <v>Rockwood</v>
      </c>
      <c r="G3318" t="str">
        <f>"avanddanesh"</f>
        <v>avanddanesh</v>
      </c>
    </row>
    <row r="3319" spans="1:7" x14ac:dyDescent="0.25">
      <c r="A3319" t="str">
        <f>"Introduction to Soil Chemistry: Analysis and Instrumentation,2e"</f>
        <v>Introduction to Soil Chemistry: Analysis and Instrumentation,2e</v>
      </c>
      <c r="B3319" t="str">
        <f>"9781118135143"</f>
        <v>9781118135143</v>
      </c>
      <c r="C3319">
        <v>96</v>
      </c>
      <c r="D3319" t="str">
        <f>"USD"</f>
        <v>USD</v>
      </c>
      <c r="E3319" t="str">
        <f>"2014"</f>
        <v>2014</v>
      </c>
      <c r="F3319" t="str">
        <f>"Conklin"</f>
        <v>Conklin</v>
      </c>
      <c r="G3319" t="str">
        <f>"avanddanesh"</f>
        <v>avanddanesh</v>
      </c>
    </row>
    <row r="3320" spans="1:7" x14ac:dyDescent="0.25">
      <c r="A3320" t="str">
        <f>"Introduction to the Meteorology and Climate of the Tropics"</f>
        <v>Introduction to the Meteorology and Climate of the Tropics</v>
      </c>
      <c r="B3320" t="str">
        <f>"9781119086222"</f>
        <v>9781119086222</v>
      </c>
      <c r="C3320">
        <v>48</v>
      </c>
      <c r="D3320" t="str">
        <f>"USD"</f>
        <v>USD</v>
      </c>
      <c r="E3320" t="str">
        <f>"2015"</f>
        <v>2015</v>
      </c>
      <c r="F3320" t="str">
        <f>"Galvin"</f>
        <v>Galvin</v>
      </c>
      <c r="G3320" t="str">
        <f>"avanddanesh"</f>
        <v>avanddanesh</v>
      </c>
    </row>
    <row r="3321" spans="1:7" x14ac:dyDescent="0.25">
      <c r="A3321" t="str">
        <f>"Introduction to Thermogeology: Ground Source Heating and Cooling,2e"</f>
        <v>Introduction to Thermogeology: Ground Source Heating and Cooling,2e</v>
      </c>
      <c r="B3321" t="str">
        <f>"9780470670347"</f>
        <v>9780470670347</v>
      </c>
      <c r="C3321">
        <v>69</v>
      </c>
      <c r="D3321" t="str">
        <f>"USD"</f>
        <v>USD</v>
      </c>
      <c r="E3321" t="str">
        <f>"2012"</f>
        <v>2012</v>
      </c>
      <c r="F3321" t="str">
        <f>"Banks"</f>
        <v>Banks</v>
      </c>
      <c r="G3321" t="str">
        <f>"avanddanesh"</f>
        <v>avanddanesh</v>
      </c>
    </row>
    <row r="3322" spans="1:7" x14ac:dyDescent="0.25">
      <c r="A3322" t="str">
        <f>"Introduction to Tsallis Entropy Theory in Water Engineering"</f>
        <v>Introduction to Tsallis Entropy Theory in Water Engineering</v>
      </c>
      <c r="B3322" t="str">
        <f>"9781138747944"</f>
        <v>9781138747944</v>
      </c>
      <c r="C3322">
        <v>54</v>
      </c>
      <c r="D3322" t="str">
        <f>"GBP"</f>
        <v>GBP</v>
      </c>
      <c r="E3322" t="str">
        <f>"2017"</f>
        <v>2017</v>
      </c>
      <c r="F3322" t="str">
        <f>"SINGH"</f>
        <v>SINGH</v>
      </c>
      <c r="G3322" t="str">
        <f>"sal"</f>
        <v>sal</v>
      </c>
    </row>
    <row r="3323" spans="1:7" x14ac:dyDescent="0.25">
      <c r="A3323" t="str">
        <f>"Introduction to Zoo Biology and Management"</f>
        <v>Introduction to Zoo Biology and Management</v>
      </c>
      <c r="B3323" t="str">
        <f>"9781405193504"</f>
        <v>9781405193504</v>
      </c>
      <c r="C3323">
        <v>24</v>
      </c>
      <c r="D3323" t="str">
        <f>"USD"</f>
        <v>USD</v>
      </c>
      <c r="E3323" t="str">
        <f>"2011"</f>
        <v>2011</v>
      </c>
      <c r="F3323" t="str">
        <f>"Rees"</f>
        <v>Rees</v>
      </c>
      <c r="G3323" t="str">
        <f>"avanddanesh"</f>
        <v>avanddanesh</v>
      </c>
    </row>
    <row r="3324" spans="1:7" x14ac:dyDescent="0.25">
      <c r="A3324" t="str">
        <f>"Invasion Ecology"</f>
        <v>Invasion Ecology</v>
      </c>
      <c r="B3324" t="str">
        <f>"9781405114189"</f>
        <v>9781405114189</v>
      </c>
      <c r="C3324">
        <v>36</v>
      </c>
      <c r="D3324" t="str">
        <f>"USD"</f>
        <v>USD</v>
      </c>
      <c r="E3324" t="str">
        <f>"2006"</f>
        <v>2006</v>
      </c>
      <c r="F3324" t="str">
        <f>"Lockwood"</f>
        <v>Lockwood</v>
      </c>
      <c r="G3324" t="str">
        <f>"avanddanesh"</f>
        <v>avanddanesh</v>
      </c>
    </row>
    <row r="3325" spans="1:7" x14ac:dyDescent="0.25">
      <c r="A3325" t="str">
        <f>"Invasion Ecology,2e"</f>
        <v>Invasion Ecology,2e</v>
      </c>
      <c r="B3325" t="str">
        <f>"9781444333657"</f>
        <v>9781444333657</v>
      </c>
      <c r="C3325">
        <v>39</v>
      </c>
      <c r="D3325" t="str">
        <f>"USD"</f>
        <v>USD</v>
      </c>
      <c r="E3325" t="str">
        <f>"2013"</f>
        <v>2013</v>
      </c>
      <c r="F3325" t="str">
        <f>"Lockwood"</f>
        <v>Lockwood</v>
      </c>
      <c r="G3325" t="str">
        <f>"avanddanesh"</f>
        <v>avanddanesh</v>
      </c>
    </row>
    <row r="3326" spans="1:7" x14ac:dyDescent="0.25">
      <c r="A3326" t="str">
        <f>"Invasion Genetics: The Baker and Stebbins Legacy"</f>
        <v>Invasion Genetics: The Baker and Stebbins Legacy</v>
      </c>
      <c r="B3326" t="str">
        <f>"9781118922163"</f>
        <v>9781118922163</v>
      </c>
      <c r="C3326">
        <v>59.5</v>
      </c>
      <c r="D3326" t="str">
        <f>"USD"</f>
        <v>USD</v>
      </c>
      <c r="E3326" t="str">
        <f>"2016"</f>
        <v>2016</v>
      </c>
      <c r="F3326" t="str">
        <f>"Rieseberg"</f>
        <v>Rieseberg</v>
      </c>
      <c r="G3326" t="str">
        <f>"avanddanesh"</f>
        <v>avanddanesh</v>
      </c>
    </row>
    <row r="3327" spans="1:7" x14ac:dyDescent="0.25">
      <c r="A3327" t="str">
        <f>"INVASIVE AND INTRODUCED PLANTS AND ANIMALS:HUMAN PERCEPTIONS, ATTITUDES AND APPROACHES TO MANAGEMENT"</f>
        <v>INVASIVE AND INTRODUCED PLANTS AND ANIMALS:HUMAN PERCEPTIONS, ATTITUDES AND APPROACHES TO MANAGEMENT</v>
      </c>
      <c r="B3327" t="str">
        <f>"9780415830690"</f>
        <v>9780415830690</v>
      </c>
      <c r="C3327">
        <v>21</v>
      </c>
      <c r="D3327" t="str">
        <f>"GBP"</f>
        <v>GBP</v>
      </c>
      <c r="E3327" t="str">
        <f>"2013"</f>
        <v>2013</v>
      </c>
      <c r="F3327" t="str">
        <f>"ROTHERHAM"</f>
        <v>ROTHERHAM</v>
      </c>
      <c r="G3327" t="str">
        <f>"AsarBartar"</f>
        <v>AsarBartar</v>
      </c>
    </row>
    <row r="3328" spans="1:7" x14ac:dyDescent="0.25">
      <c r="A3328" t="str">
        <f>"INVASIVE PLANTS AND FOREST ECOSYSTEMS"</f>
        <v>INVASIVE PLANTS AND FOREST ECOSYSTEMS</v>
      </c>
      <c r="B3328" t="str">
        <f>"9781420043372"</f>
        <v>9781420043372</v>
      </c>
      <c r="C3328">
        <v>24.6</v>
      </c>
      <c r="D3328" t="str">
        <f>"GBP"</f>
        <v>GBP</v>
      </c>
      <c r="E3328" t="str">
        <f>"2009"</f>
        <v>2009</v>
      </c>
      <c r="F3328" t="str">
        <f>"RAVINDER KUMAR KOHL"</f>
        <v>RAVINDER KUMAR KOHL</v>
      </c>
      <c r="G3328" t="str">
        <f>"AsarBartar"</f>
        <v>AsarBartar</v>
      </c>
    </row>
    <row r="3329" spans="1:7" x14ac:dyDescent="0.25">
      <c r="A3329" t="str">
        <f>"Invasive Species : Risk Assessment and Management"</f>
        <v>Invasive Species : Risk Assessment and Management</v>
      </c>
      <c r="B3329" t="str">
        <f>"9780521146746"</f>
        <v>9780521146746</v>
      </c>
      <c r="C3329">
        <v>34</v>
      </c>
      <c r="D3329" t="str">
        <f>"GBP"</f>
        <v>GBP</v>
      </c>
      <c r="E3329" t="str">
        <f>"2017"</f>
        <v>2017</v>
      </c>
      <c r="F3329" t="str">
        <f>"Robinson"</f>
        <v>Robinson</v>
      </c>
      <c r="G3329" t="str">
        <f>"arzinbooks"</f>
        <v>arzinbooks</v>
      </c>
    </row>
    <row r="3330" spans="1:7" x14ac:dyDescent="0.25">
      <c r="A3330" t="str">
        <f>"Invasive Species and Global Climate Change"</f>
        <v>Invasive Species and Global Climate Change</v>
      </c>
      <c r="B3330" t="str">
        <f>"9781780641645"</f>
        <v>9781780641645</v>
      </c>
      <c r="C3330">
        <v>115.47</v>
      </c>
      <c r="D3330" t="str">
        <f t="shared" ref="D3330:D3337" si="194">"USD"</f>
        <v>USD</v>
      </c>
      <c r="E3330" t="str">
        <f>"2014"</f>
        <v>2014</v>
      </c>
      <c r="F3330" t="str">
        <f>"Lewis Ziska"</f>
        <v>Lewis Ziska</v>
      </c>
      <c r="G3330" t="str">
        <f>"safirketab"</f>
        <v>safirketab</v>
      </c>
    </row>
    <row r="3331" spans="1:7" x14ac:dyDescent="0.25">
      <c r="A3331" t="str">
        <f>"Ionospheric Space Weather: Longitude Dependence and Lower Atmosphere Forcing"</f>
        <v>Ionospheric Space Weather: Longitude Dependence and Lower Atmosphere Forcing</v>
      </c>
      <c r="B3331" t="str">
        <f>"9781118929209"</f>
        <v>9781118929209</v>
      </c>
      <c r="C3331">
        <v>171</v>
      </c>
      <c r="D3331" t="str">
        <f t="shared" si="194"/>
        <v>USD</v>
      </c>
      <c r="E3331" t="str">
        <f>"2017"</f>
        <v>2017</v>
      </c>
      <c r="F3331" t="str">
        <f>"Fuller-Rowell"</f>
        <v>Fuller-Rowell</v>
      </c>
      <c r="G3331" t="str">
        <f>"avanddanesh"</f>
        <v>avanddanesh</v>
      </c>
    </row>
    <row r="3332" spans="1:7" x14ac:dyDescent="0.25">
      <c r="A3332" t="str">
        <f>"Ions in Solution and their Solvation"</f>
        <v>Ions in Solution and their Solvation</v>
      </c>
      <c r="B3332" t="str">
        <f>"9781118889145"</f>
        <v>9781118889145</v>
      </c>
      <c r="C3332">
        <v>108</v>
      </c>
      <c r="D3332" t="str">
        <f t="shared" si="194"/>
        <v>USD</v>
      </c>
      <c r="E3332" t="str">
        <f>"2015"</f>
        <v>2015</v>
      </c>
      <c r="F3332" t="str">
        <f>"Marcus"</f>
        <v>Marcus</v>
      </c>
      <c r="G3332" t="str">
        <f>"avanddanesh"</f>
        <v>avanddanesh</v>
      </c>
    </row>
    <row r="3333" spans="1:7" x14ac:dyDescent="0.25">
      <c r="A3333" t="str">
        <f>"Irrigation and Drainage Management, HB"</f>
        <v>Irrigation and Drainage Management, HB</v>
      </c>
      <c r="B3333" t="str">
        <f>"9781933699288"</f>
        <v>9781933699288</v>
      </c>
      <c r="C3333">
        <v>56</v>
      </c>
      <c r="D3333" t="str">
        <f t="shared" si="194"/>
        <v>USD</v>
      </c>
      <c r="E3333" t="str">
        <f>"2012"</f>
        <v>2012</v>
      </c>
      <c r="F3333" t="str">
        <f>"Yilmaz"</f>
        <v>Yilmaz</v>
      </c>
      <c r="G3333" t="str">
        <f>"supply"</f>
        <v>supply</v>
      </c>
    </row>
    <row r="3334" spans="1:7" x14ac:dyDescent="0.25">
      <c r="A3334" t="str">
        <f>"Irrigation and Water Power Engineering"</f>
        <v>Irrigation and Water Power Engineering</v>
      </c>
      <c r="B3334" t="str">
        <f>"9788120335875"</f>
        <v>9788120335875</v>
      </c>
      <c r="C3334">
        <v>10.199999999999999</v>
      </c>
      <c r="D3334" t="str">
        <f t="shared" si="194"/>
        <v>USD</v>
      </c>
      <c r="E3334" t="str">
        <f>"2016"</f>
        <v>2016</v>
      </c>
      <c r="F3334" t="str">
        <f>"Das"</f>
        <v>Das</v>
      </c>
      <c r="G3334" t="str">
        <f>"jahanadib"</f>
        <v>jahanadib</v>
      </c>
    </row>
    <row r="3335" spans="1:7" x14ac:dyDescent="0.25">
      <c r="A3335" t="str">
        <f>"Irrigation and Water Power Engineering"</f>
        <v>Irrigation and Water Power Engineering</v>
      </c>
      <c r="B3335" t="str">
        <f>"9788120335875"</f>
        <v>9788120335875</v>
      </c>
      <c r="C3335">
        <v>10.199999999999999</v>
      </c>
      <c r="D3335" t="str">
        <f t="shared" si="194"/>
        <v>USD</v>
      </c>
      <c r="E3335" t="str">
        <f>"2016"</f>
        <v>2016</v>
      </c>
      <c r="F3335" t="str">
        <f>"Das"</f>
        <v>Das</v>
      </c>
      <c r="G3335" t="str">
        <f>"safirketab"</f>
        <v>safirketab</v>
      </c>
    </row>
    <row r="3336" spans="1:7" x14ac:dyDescent="0.25">
      <c r="A3336" t="str">
        <f>"Irrigation Water Management: Principle and Practice, 2/e"</f>
        <v>Irrigation Water Management: Principle and Practice, 2/e</v>
      </c>
      <c r="B3336" t="str">
        <f>"9788120348264"</f>
        <v>9788120348264</v>
      </c>
      <c r="C3336">
        <v>11.9</v>
      </c>
      <c r="D3336" t="str">
        <f t="shared" si="194"/>
        <v>USD</v>
      </c>
      <c r="E3336" t="str">
        <f>"2016"</f>
        <v>2016</v>
      </c>
      <c r="F3336" t="str">
        <f>"Majumdar"</f>
        <v>Majumdar</v>
      </c>
      <c r="G3336" t="str">
        <f>"jahanadib"</f>
        <v>jahanadib</v>
      </c>
    </row>
    <row r="3337" spans="1:7" x14ac:dyDescent="0.25">
      <c r="A3337" t="str">
        <f>"Irrigation Water Management: Principle and Practice, 2/e"</f>
        <v>Irrigation Water Management: Principle and Practice, 2/e</v>
      </c>
      <c r="B3337" t="str">
        <f>"9788120348264"</f>
        <v>9788120348264</v>
      </c>
      <c r="C3337">
        <v>11.9</v>
      </c>
      <c r="D3337" t="str">
        <f t="shared" si="194"/>
        <v>USD</v>
      </c>
      <c r="E3337" t="str">
        <f>"2016"</f>
        <v>2016</v>
      </c>
      <c r="F3337" t="str">
        <f>"Majumdar"</f>
        <v>Majumdar</v>
      </c>
      <c r="G3337" t="str">
        <f>"safirketab"</f>
        <v>safirketab</v>
      </c>
    </row>
    <row r="3338" spans="1:7" x14ac:dyDescent="0.25">
      <c r="A3338" t="str">
        <f>"ISLAND SUSTAINABILITY, HB"</f>
        <v>ISLAND SUSTAINABILITY, HB</v>
      </c>
      <c r="B3338" t="str">
        <f>"9781845644345"</f>
        <v>9781845644345</v>
      </c>
      <c r="C3338">
        <v>81.2</v>
      </c>
      <c r="D3338" t="str">
        <f>"GBP"</f>
        <v>GBP</v>
      </c>
      <c r="E3338" t="str">
        <f>"2010"</f>
        <v>2010</v>
      </c>
      <c r="F3338" t="str">
        <f>"Favro"</f>
        <v>Favro</v>
      </c>
      <c r="G3338" t="str">
        <f>"supply"</f>
        <v>supply</v>
      </c>
    </row>
    <row r="3339" spans="1:7" x14ac:dyDescent="0.25">
      <c r="A3339" t="str">
        <f>"Issues and Concepts in Historical Ecology : The Past and Future of Landscapes and Regions"</f>
        <v>Issues and Concepts in Historical Ecology : The Past and Future of Landscapes and Regions</v>
      </c>
      <c r="B3339" t="str">
        <f>"9781108420983"</f>
        <v>9781108420983</v>
      </c>
      <c r="C3339">
        <v>42.5</v>
      </c>
      <c r="D3339" t="str">
        <f>"GBP"</f>
        <v>GBP</v>
      </c>
      <c r="E3339" t="str">
        <f>"2017"</f>
        <v>2017</v>
      </c>
      <c r="F3339" t="str">
        <f>"Crumley"</f>
        <v>Crumley</v>
      </c>
      <c r="G3339" t="str">
        <f>"arzinbooks"</f>
        <v>arzinbooks</v>
      </c>
    </row>
    <row r="3340" spans="1:7" x14ac:dyDescent="0.25">
      <c r="A3340" t="str">
        <f>"JET FUEL TOXICOLOGY"</f>
        <v>JET FUEL TOXICOLOGY</v>
      </c>
      <c r="B3340" t="str">
        <f>"9781420080209"</f>
        <v>9781420080209</v>
      </c>
      <c r="C3340">
        <v>32.4</v>
      </c>
      <c r="D3340" t="str">
        <f>"GBP"</f>
        <v>GBP</v>
      </c>
      <c r="E3340" t="str">
        <f>"2011"</f>
        <v>2011</v>
      </c>
      <c r="F3340" t="str">
        <f>"MARK L. WITTEN"</f>
        <v>MARK L. WITTEN</v>
      </c>
      <c r="G3340" t="str">
        <f>"AsarBartar"</f>
        <v>AsarBartar</v>
      </c>
    </row>
    <row r="3341" spans="1:7" x14ac:dyDescent="0.25">
      <c r="A3341" t="str">
        <f>"Kernel Smoothing: Principles, Methods and Applications"</f>
        <v>Kernel Smoothing: Principles, Methods and Applications</v>
      </c>
      <c r="B3341" t="str">
        <f>"9781118456057"</f>
        <v>9781118456057</v>
      </c>
      <c r="C3341">
        <v>63</v>
      </c>
      <c r="D3341" t="str">
        <f>"USD"</f>
        <v>USD</v>
      </c>
      <c r="E3341" t="str">
        <f>"2017"</f>
        <v>2017</v>
      </c>
      <c r="F3341" t="str">
        <f>"Ghosh"</f>
        <v>Ghosh</v>
      </c>
      <c r="G3341" t="str">
        <f>"avanddanesh"</f>
        <v>avanddanesh</v>
      </c>
    </row>
    <row r="3342" spans="1:7" x14ac:dyDescent="0.25">
      <c r="A3342" t="str">
        <f>"Key Methods in Geography"</f>
        <v>Key Methods in Geography</v>
      </c>
      <c r="B3342" t="str">
        <f>"9781446298589"</f>
        <v>9781446298589</v>
      </c>
      <c r="C3342">
        <v>75</v>
      </c>
      <c r="D3342" t="str">
        <f>"GBP"</f>
        <v>GBP</v>
      </c>
      <c r="E3342" t="str">
        <f>"2016"</f>
        <v>2016</v>
      </c>
      <c r="F3342" t="str">
        <f>"Nicholas Cliffo"</f>
        <v>Nicholas Cliffo</v>
      </c>
      <c r="G3342" t="str">
        <f>"kowkab"</f>
        <v>kowkab</v>
      </c>
    </row>
    <row r="3343" spans="1:7" x14ac:dyDescent="0.25">
      <c r="A3343" t="str">
        <f>"Key Methods in Geography"</f>
        <v>Key Methods in Geography</v>
      </c>
      <c r="B3343" t="str">
        <f>"9781446298602"</f>
        <v>9781446298602</v>
      </c>
      <c r="C3343">
        <v>26.24</v>
      </c>
      <c r="D3343" t="str">
        <f>"GBP"</f>
        <v>GBP</v>
      </c>
      <c r="E3343" t="str">
        <f>"2016"</f>
        <v>2016</v>
      </c>
      <c r="F3343" t="str">
        <f>"Nicholas Cliffo"</f>
        <v>Nicholas Cliffo</v>
      </c>
      <c r="G3343" t="str">
        <f>"kowkab"</f>
        <v>kowkab</v>
      </c>
    </row>
    <row r="3344" spans="1:7" x14ac:dyDescent="0.25">
      <c r="A3344" t="str">
        <f>"Keywords for Environmental Studies"</f>
        <v>Keywords for Environmental Studies</v>
      </c>
      <c r="B3344" t="str">
        <f>"9780814760833"</f>
        <v>9780814760833</v>
      </c>
      <c r="C3344">
        <v>17.899999999999999</v>
      </c>
      <c r="D3344" t="str">
        <f>"GBP"</f>
        <v>GBP</v>
      </c>
      <c r="E3344" t="str">
        <f>"2016"</f>
        <v>2016</v>
      </c>
      <c r="F3344" t="str">
        <f>"Adamson, Joni || Gle"</f>
        <v>Adamson, Joni || Gle</v>
      </c>
      <c r="G3344" t="str">
        <f>"arzinbooks"</f>
        <v>arzinbooks</v>
      </c>
    </row>
    <row r="3345" spans="1:7" x14ac:dyDescent="0.25">
      <c r="A3345" t="str">
        <f>"Land Degradation, Desertification and Climate Change: Anticipating, assessing and adapting to future change (Climate and Development)"</f>
        <v>Land Degradation, Desertification and Climate Change: Anticipating, assessing and adapting to future change (Climate and Development)</v>
      </c>
      <c r="B3345" t="str">
        <f>"9781849712712"</f>
        <v>9781849712712</v>
      </c>
      <c r="C3345">
        <v>22.95</v>
      </c>
      <c r="D3345" t="str">
        <f>"GBP"</f>
        <v>GBP</v>
      </c>
      <c r="E3345" t="str">
        <f>"2016"</f>
        <v>2016</v>
      </c>
      <c r="F3345" t="str">
        <f>"Mark S. Reed,Lindsa"</f>
        <v>Mark S. Reed,Lindsa</v>
      </c>
      <c r="G3345" t="str">
        <f>"AsarBartar"</f>
        <v>AsarBartar</v>
      </c>
    </row>
    <row r="3346" spans="1:7" x14ac:dyDescent="0.25">
      <c r="A3346" t="str">
        <f>"LAND MANAGEMENT, HB"</f>
        <v>LAND MANAGEMENT, HB</v>
      </c>
      <c r="B3346" t="str">
        <f>"9781926692074"</f>
        <v>9781926692074</v>
      </c>
      <c r="C3346">
        <v>93.1</v>
      </c>
      <c r="D3346" t="str">
        <f>"USD"</f>
        <v>USD</v>
      </c>
      <c r="E3346" t="str">
        <f>"2010"</f>
        <v>2010</v>
      </c>
      <c r="F3346" t="str">
        <f>"Covington"</f>
        <v>Covington</v>
      </c>
      <c r="G3346" t="str">
        <f>"supply"</f>
        <v>supply</v>
      </c>
    </row>
    <row r="3347" spans="1:7" x14ac:dyDescent="0.25">
      <c r="A3347" t="str">
        <f>"Land Surface Remote Sensing in Continental Hydrology"</f>
        <v>Land Surface Remote Sensing in Continental Hydrology</v>
      </c>
      <c r="B3347" t="str">
        <f>"9781785481048"</f>
        <v>9781785481048</v>
      </c>
      <c r="C3347">
        <v>148.5</v>
      </c>
      <c r="D3347" t="str">
        <f>"USD"</f>
        <v>USD</v>
      </c>
      <c r="E3347" t="str">
        <f>"2016"</f>
        <v>2016</v>
      </c>
      <c r="F3347" t="str">
        <f>"Baghdadi and Zribi"</f>
        <v>Baghdadi and Zribi</v>
      </c>
      <c r="G3347" t="str">
        <f>"arang"</f>
        <v>arang</v>
      </c>
    </row>
    <row r="3348" spans="1:7" x14ac:dyDescent="0.25">
      <c r="A3348" t="str">
        <f>"Land Surface Remote Sensing in Urban and Coastal Areas"</f>
        <v>Land Surface Remote Sensing in Urban and Coastal Areas</v>
      </c>
      <c r="B3348" t="str">
        <f>"9781785481604"</f>
        <v>9781785481604</v>
      </c>
      <c r="C3348">
        <v>135</v>
      </c>
      <c r="D3348" t="str">
        <f>"USD"</f>
        <v>USD</v>
      </c>
      <c r="E3348" t="str">
        <f>"2016"</f>
        <v>2016</v>
      </c>
      <c r="F3348" t="str">
        <f>"Baghdadi and Zribi"</f>
        <v>Baghdadi and Zribi</v>
      </c>
      <c r="G3348" t="str">
        <f>"arang"</f>
        <v>arang</v>
      </c>
    </row>
    <row r="3349" spans="1:7" x14ac:dyDescent="0.25">
      <c r="A3349" t="str">
        <f>"Land Surface Remote Sensing, Environment and Risks"</f>
        <v>Land Surface Remote Sensing, Environment and Risks</v>
      </c>
      <c r="B3349" t="str">
        <f>"9781785481055"</f>
        <v>9781785481055</v>
      </c>
      <c r="C3349">
        <v>135</v>
      </c>
      <c r="D3349" t="str">
        <f>"USD"</f>
        <v>USD</v>
      </c>
      <c r="E3349" t="str">
        <f>"2016"</f>
        <v>2016</v>
      </c>
      <c r="F3349" t="str">
        <f>"Zribi"</f>
        <v>Zribi</v>
      </c>
      <c r="G3349" t="str">
        <f>"arang"</f>
        <v>arang</v>
      </c>
    </row>
    <row r="3350" spans="1:7" x14ac:dyDescent="0.25">
      <c r="A3350" t="str">
        <f>"Landscape Dynamics. Soils and Hydrological Processes in Varied Climates"</f>
        <v>Landscape Dynamics. Soils and Hydrological Processes in Varied Climates</v>
      </c>
      <c r="B3350" t="str">
        <f>"9783319373263"</f>
        <v>9783319373263</v>
      </c>
      <c r="C3350">
        <v>151.38</v>
      </c>
      <c r="D3350" t="str">
        <f>"EUR"</f>
        <v>EUR</v>
      </c>
      <c r="E3350" t="str">
        <f>"2016"</f>
        <v>2016</v>
      </c>
      <c r="F3350" t="str">
        <f>"Melesse"</f>
        <v>Melesse</v>
      </c>
      <c r="G3350" t="str">
        <f>"negarestanabi"</f>
        <v>negarestanabi</v>
      </c>
    </row>
    <row r="3351" spans="1:7" x14ac:dyDescent="0.25">
      <c r="A3351" t="str">
        <f>"Landscape Genetics: Concepts, Methods, Applications"</f>
        <v>Landscape Genetics: Concepts, Methods, Applications</v>
      </c>
      <c r="B3351" t="str">
        <f>"9781118525296"</f>
        <v>9781118525296</v>
      </c>
      <c r="C3351">
        <v>48</v>
      </c>
      <c r="D3351" t="str">
        <f>"USD"</f>
        <v>USD</v>
      </c>
      <c r="E3351" t="str">
        <f>"2015"</f>
        <v>2015</v>
      </c>
      <c r="F3351" t="str">
        <f>"Balkenhol"</f>
        <v>Balkenhol</v>
      </c>
      <c r="G3351" t="str">
        <f>"avanddanesh"</f>
        <v>avanddanesh</v>
      </c>
    </row>
    <row r="3352" spans="1:7" x14ac:dyDescent="0.25">
      <c r="A3352" t="str">
        <f>"Laws Protecting Animals and Ecosystems"</f>
        <v>Laws Protecting Animals and Ecosystems</v>
      </c>
      <c r="B3352" t="str">
        <f>"9781118876459"</f>
        <v>9781118876459</v>
      </c>
      <c r="C3352">
        <v>108</v>
      </c>
      <c r="D3352" t="str">
        <f>"USD"</f>
        <v>USD</v>
      </c>
      <c r="E3352" t="str">
        <f>"2017"</f>
        <v>2017</v>
      </c>
      <c r="F3352" t="str">
        <f>"Rees"</f>
        <v>Rees</v>
      </c>
      <c r="G3352" t="str">
        <f>"avanddanesh"</f>
        <v>avanddanesh</v>
      </c>
    </row>
    <row r="3353" spans="1:7" x14ac:dyDescent="0.25">
      <c r="A3353" t="str">
        <f>"Life at Extremes"</f>
        <v>Life at Extremes</v>
      </c>
      <c r="B3353" t="str">
        <f>"9781845938147"</f>
        <v>9781845938147</v>
      </c>
      <c r="C3353">
        <v>121.48</v>
      </c>
      <c r="D3353" t="str">
        <f>"USD"</f>
        <v>USD</v>
      </c>
      <c r="E3353" t="str">
        <f>"2012"</f>
        <v>2012</v>
      </c>
      <c r="F3353" t="str">
        <f>"Elanor M Bell"</f>
        <v>Elanor M Bell</v>
      </c>
      <c r="G3353" t="str">
        <f>"safirketab"</f>
        <v>safirketab</v>
      </c>
    </row>
    <row r="3354" spans="1:7" x14ac:dyDescent="0.25">
      <c r="A3354" t="str">
        <f>"Life at Vents and Seeps"</f>
        <v>Life at Vents and Seeps</v>
      </c>
      <c r="B3354" t="str">
        <f>"9783110494754"</f>
        <v>9783110494754</v>
      </c>
      <c r="C3354">
        <v>89.95</v>
      </c>
      <c r="D3354" t="str">
        <f>"EUR"</f>
        <v>EUR</v>
      </c>
      <c r="E3354" t="str">
        <f>"2017"</f>
        <v>2017</v>
      </c>
      <c r="F3354" t="str">
        <f>"Jens Kallmeyer Jens"</f>
        <v>Jens Kallmeyer Jens</v>
      </c>
      <c r="G3354" t="str">
        <f>"AsarBartar"</f>
        <v>AsarBartar</v>
      </c>
    </row>
    <row r="3355" spans="1:7" x14ac:dyDescent="0.25">
      <c r="A3355" t="str">
        <f>"Linking Restoration and Ecological Succession"</f>
        <v>Linking Restoration and Ecological Succession</v>
      </c>
      <c r="B3355" t="str">
        <f>"9780387353029"</f>
        <v>9780387353029</v>
      </c>
      <c r="C3355">
        <v>43.99</v>
      </c>
      <c r="D3355" t="str">
        <f>"USD"</f>
        <v>USD</v>
      </c>
      <c r="E3355" t="str">
        <f>"2007"</f>
        <v>2007</v>
      </c>
      <c r="F3355" t="str">
        <f>"Walker,L.(Eds)"</f>
        <v>Walker,L.(Eds)</v>
      </c>
      <c r="G3355" t="str">
        <f>"safirketab"</f>
        <v>safirketab</v>
      </c>
    </row>
    <row r="3356" spans="1:7" x14ac:dyDescent="0.25">
      <c r="A3356" t="str">
        <f>"Liquefaction Around Marine Structures (With CD-ROM), Advanced Series on Ocean Engineering - Volume 39"</f>
        <v>Liquefaction Around Marine Structures (With CD-ROM), Advanced Series on Ocean Engineering - Volume 39</v>
      </c>
      <c r="B3356" t="str">
        <f>"9789814329316"</f>
        <v>9789814329316</v>
      </c>
      <c r="C3356">
        <v>92</v>
      </c>
      <c r="D3356" t="str">
        <f>"GBP"</f>
        <v>GBP</v>
      </c>
      <c r="E3356" t="str">
        <f>"2014"</f>
        <v>2014</v>
      </c>
      <c r="F3356" t="str">
        <f>"Mutlu Sumer"</f>
        <v>Mutlu Sumer</v>
      </c>
      <c r="G3356" t="str">
        <f>"AsarBartar"</f>
        <v>AsarBartar</v>
      </c>
    </row>
    <row r="3357" spans="1:7" x14ac:dyDescent="0.25">
      <c r="A3357" t="str">
        <f>"LITTLE GREEN DATA BOOK 2009,THE"</f>
        <v>LITTLE GREEN DATA BOOK 2009,THE</v>
      </c>
      <c r="B3357" t="str">
        <f>"9780821378496"</f>
        <v>9780821378496</v>
      </c>
      <c r="C3357">
        <v>4.5</v>
      </c>
      <c r="D3357" t="str">
        <f>"USD"</f>
        <v>USD</v>
      </c>
      <c r="E3357" t="str">
        <f>"2009"</f>
        <v>2009</v>
      </c>
      <c r="F3357" t="str">
        <f>"WORLD BANK"</f>
        <v>WORLD BANK</v>
      </c>
      <c r="G3357" t="str">
        <f>"AsarBartar"</f>
        <v>AsarBartar</v>
      </c>
    </row>
    <row r="3358" spans="1:7" x14ac:dyDescent="0.25">
      <c r="A3358" t="str">
        <f>"LOSING PARADISE : The Water Crisis In The Mediterranean, HB"</f>
        <v>LOSING PARADISE : The Water Crisis In The Mediterranean, HB</v>
      </c>
      <c r="B3358" t="str">
        <f>"9780754675730"</f>
        <v>9780754675730</v>
      </c>
      <c r="C3358">
        <v>66.5</v>
      </c>
      <c r="D3358" t="str">
        <f>"GBP"</f>
        <v>GBP</v>
      </c>
      <c r="E3358" t="str">
        <f>"2010"</f>
        <v>2010</v>
      </c>
      <c r="F3358" t="str">
        <f>"Warhaft"</f>
        <v>Warhaft</v>
      </c>
      <c r="G3358" t="str">
        <f>"supply"</f>
        <v>supply</v>
      </c>
    </row>
    <row r="3359" spans="1:7" x14ac:dyDescent="0.25">
      <c r="A3359" t="str">
        <f>"LOW CARBON NATION"</f>
        <v>LOW CARBON NATION</v>
      </c>
      <c r="B3359" t="str">
        <f>"9780415632287"</f>
        <v>9780415632287</v>
      </c>
      <c r="C3359">
        <v>16.8</v>
      </c>
      <c r="D3359" t="str">
        <f>"GBP"</f>
        <v>GBP</v>
      </c>
      <c r="E3359" t="str">
        <f>"2013"</f>
        <v>2013</v>
      </c>
      <c r="F3359" t="str">
        <f>"HODSON"</f>
        <v>HODSON</v>
      </c>
      <c r="G3359" t="str">
        <f>"AsarBartar"</f>
        <v>AsarBartar</v>
      </c>
    </row>
    <row r="3360" spans="1:7" x14ac:dyDescent="0.25">
      <c r="A3360" t="str">
        <f>"Low Cost Wastewater Bioremediation Technology, Innovative Treatment of Sulphate and Metal-Rich Wastewater"</f>
        <v>Low Cost Wastewater Bioremediation Technology, Innovative Treatment of Sulphate and Metal-Rich Wastewater</v>
      </c>
      <c r="B3360" t="str">
        <f>"9780128125106"</f>
        <v>9780128125106</v>
      </c>
      <c r="C3360">
        <v>135</v>
      </c>
      <c r="D3360" t="str">
        <f>"USD"</f>
        <v>USD</v>
      </c>
      <c r="E3360" t="str">
        <f>"2017"</f>
        <v>2017</v>
      </c>
      <c r="F3360" t="str">
        <f>"Bhattacharya et al"</f>
        <v>Bhattacharya et al</v>
      </c>
      <c r="G3360" t="str">
        <f>"arang"</f>
        <v>arang</v>
      </c>
    </row>
    <row r="3361" spans="1:7" x14ac:dyDescent="0.25">
      <c r="A3361" t="str">
        <f>"MAKING FISHERY AGREEMENTS WORK"</f>
        <v>MAKING FISHERY AGREEMENTS WORK</v>
      </c>
      <c r="B3361" t="str">
        <f>"9780857933621"</f>
        <v>9780857933621</v>
      </c>
      <c r="C3361">
        <v>41.4</v>
      </c>
      <c r="D3361" t="str">
        <f>"GBP"</f>
        <v>GBP</v>
      </c>
      <c r="E3361" t="str">
        <f>"2012"</f>
        <v>2012</v>
      </c>
      <c r="F3361" t="str">
        <f>"H?NNELAND, G."</f>
        <v>H?NNELAND, G.</v>
      </c>
      <c r="G3361" t="str">
        <f>"AsarBartar"</f>
        <v>AsarBartar</v>
      </c>
    </row>
    <row r="3362" spans="1:7" x14ac:dyDescent="0.25">
      <c r="A3362" t="str">
        <f>"MAKING PUBLIC ENTERPRISES WORK : FROM DESPAIR TO PROMIS"</f>
        <v>MAKING PUBLIC ENTERPRISES WORK : FROM DESPAIR TO PROMIS</v>
      </c>
      <c r="B3362" t="str">
        <f>"9781843393245"</f>
        <v>9781843393245</v>
      </c>
      <c r="C3362">
        <v>19.8</v>
      </c>
      <c r="D3362" t="str">
        <f>"GBP"</f>
        <v>GBP</v>
      </c>
      <c r="E3362" t="str">
        <f>"2009"</f>
        <v>2009</v>
      </c>
      <c r="F3362" t="str">
        <f>"WILLIAM T. MUHAIRWE"</f>
        <v>WILLIAM T. MUHAIRWE</v>
      </c>
      <c r="G3362" t="str">
        <f>"AsarBartar"</f>
        <v>AsarBartar</v>
      </c>
    </row>
    <row r="3363" spans="1:7" x14ac:dyDescent="0.25">
      <c r="A3363" t="str">
        <f>"MAKING THE MOST OF THE WATER WE HAVE: THE SOFT PATH APPROACH TO WATER MANAGEMENT"</f>
        <v>MAKING THE MOST OF THE WATER WE HAVE: THE SOFT PATH APPROACH TO WATER MANAGEMENT</v>
      </c>
      <c r="B3363" t="str">
        <f>"9781844077540"</f>
        <v>9781844077540</v>
      </c>
      <c r="C3363">
        <v>14.98</v>
      </c>
      <c r="D3363" t="str">
        <f>"GBP"</f>
        <v>GBP</v>
      </c>
      <c r="E3363" t="str">
        <f>"2009"</f>
        <v>2009</v>
      </c>
      <c r="F3363" t="str">
        <f>"STEPHEN GURMAN(EDIT"</f>
        <v>STEPHEN GURMAN(EDIT</v>
      </c>
      <c r="G3363" t="str">
        <f>"AsarBartar"</f>
        <v>AsarBartar</v>
      </c>
    </row>
    <row r="3364" spans="1:7" x14ac:dyDescent="0.25">
      <c r="A3364" t="str">
        <f>"Mammal Societies"</f>
        <v>Mammal Societies</v>
      </c>
      <c r="B3364" t="str">
        <f>"9781119095323"</f>
        <v>9781119095323</v>
      </c>
      <c r="C3364">
        <v>51</v>
      </c>
      <c r="D3364" t="str">
        <f>"USD"</f>
        <v>USD</v>
      </c>
      <c r="E3364" t="str">
        <f>"2016"</f>
        <v>2016</v>
      </c>
      <c r="F3364" t="str">
        <f>"Clutton-Brock"</f>
        <v>Clutton-Brock</v>
      </c>
      <c r="G3364" t="str">
        <f>"avanddanesh"</f>
        <v>avanddanesh</v>
      </c>
    </row>
    <row r="3365" spans="1:7" x14ac:dyDescent="0.25">
      <c r="A3365" t="str">
        <f>"Management Of Coking Coal Resources"</f>
        <v>Management Of Coking Coal Resources</v>
      </c>
      <c r="B3365" t="str">
        <f>"9780128031605"</f>
        <v>9780128031605</v>
      </c>
      <c r="C3365">
        <v>135</v>
      </c>
      <c r="D3365" t="str">
        <f>"USD"</f>
        <v>USD</v>
      </c>
      <c r="E3365" t="str">
        <f>"2015"</f>
        <v>2015</v>
      </c>
      <c r="F3365" t="str">
        <f>"N/A*"</f>
        <v>N/A*</v>
      </c>
      <c r="G3365" t="str">
        <f>"dehkadehketab"</f>
        <v>dehkadehketab</v>
      </c>
    </row>
    <row r="3366" spans="1:7" x14ac:dyDescent="0.25">
      <c r="A3366" t="str">
        <f>"Management of Marine Protected Areas: A Network Perspective"</f>
        <v>Management of Marine Protected Areas: A Network Perspective</v>
      </c>
      <c r="B3366" t="str">
        <f>"9781119075776"</f>
        <v>9781119075776</v>
      </c>
      <c r="C3366">
        <v>103.5</v>
      </c>
      <c r="D3366" t="str">
        <f>"USD"</f>
        <v>USD</v>
      </c>
      <c r="E3366" t="str">
        <f>"2017"</f>
        <v>2017</v>
      </c>
      <c r="F3366" t="str">
        <f>"Goriup"</f>
        <v>Goriup</v>
      </c>
      <c r="G3366" t="str">
        <f>"avanddanesh"</f>
        <v>avanddanesh</v>
      </c>
    </row>
    <row r="3367" spans="1:7" x14ac:dyDescent="0.25">
      <c r="A3367" t="str">
        <f>"MANAGEMENT OF NATURAL RESOURCES, SUSTAINABLE DEVELOPMENT AND ECOLOGICAL HAZARDS II, HB"</f>
        <v>MANAGEMENT OF NATURAL RESOURCES, SUSTAINABLE DEVELOPMENT AND ECOLOGICAL HAZARDS II, HB</v>
      </c>
      <c r="B3367" t="str">
        <f>"9781845642044"</f>
        <v>9781845642044</v>
      </c>
      <c r="C3367">
        <v>123.2</v>
      </c>
      <c r="D3367" t="str">
        <f>"GBP"</f>
        <v>GBP</v>
      </c>
      <c r="E3367" t="str">
        <f>"2010"</f>
        <v>2010</v>
      </c>
      <c r="F3367" t="str">
        <f>"Brebbia"</f>
        <v>Brebbia</v>
      </c>
      <c r="G3367" t="str">
        <f>"supply"</f>
        <v>supply</v>
      </c>
    </row>
    <row r="3368" spans="1:7" x14ac:dyDescent="0.25">
      <c r="A3368" t="str">
        <f>"Management of the Effects of Coastal Storms: Policy, Scientific and Historical Perspectives"</f>
        <v>Management of the Effects of Coastal Storms: Policy, Scientific and Historical Perspectives</v>
      </c>
      <c r="B3368" t="str">
        <f>"9781848217621"</f>
        <v>9781848217621</v>
      </c>
      <c r="C3368">
        <v>108</v>
      </c>
      <c r="D3368" t="str">
        <f>"USD"</f>
        <v>USD</v>
      </c>
      <c r="E3368" t="str">
        <f>"2017"</f>
        <v>2017</v>
      </c>
      <c r="F3368" t="str">
        <f>"Quevauviller"</f>
        <v>Quevauviller</v>
      </c>
      <c r="G3368" t="str">
        <f>"avanddanesh"</f>
        <v>avanddanesh</v>
      </c>
    </row>
    <row r="3369" spans="1:7" x14ac:dyDescent="0.25">
      <c r="A3369" t="str">
        <f>"Managing Energy Risk: An Integrated View on Power and Other Energy Markets,2e"</f>
        <v>Managing Energy Risk: An Integrated View on Power and Other Energy Markets,2e</v>
      </c>
      <c r="B3369" t="str">
        <f>"9781118618639"</f>
        <v>9781118618639</v>
      </c>
      <c r="C3369">
        <v>82.5</v>
      </c>
      <c r="D3369" t="str">
        <f>"USD"</f>
        <v>USD</v>
      </c>
      <c r="E3369" t="str">
        <f>"2014"</f>
        <v>2014</v>
      </c>
      <c r="F3369" t="str">
        <f>"Burger"</f>
        <v>Burger</v>
      </c>
      <c r="G3369" t="str">
        <f>"avanddanesh"</f>
        <v>avanddanesh</v>
      </c>
    </row>
    <row r="3370" spans="1:7" x14ac:dyDescent="0.25">
      <c r="A3370" t="str">
        <f>"MANAGING EUROPE'S WATER RESOURCES : Twenty-First Century Challenges, HB"</f>
        <v>MANAGING EUROPE'S WATER RESOURCES : Twenty-First Century Challenges, HB</v>
      </c>
      <c r="B3370" t="str">
        <f>"9780754673217"</f>
        <v>9780754673217</v>
      </c>
      <c r="C3370">
        <v>104.96</v>
      </c>
      <c r="D3370" t="str">
        <f>"USD"</f>
        <v>USD</v>
      </c>
      <c r="E3370" t="str">
        <f>"2009"</f>
        <v>2009</v>
      </c>
      <c r="F3370" t="str">
        <f>"Staddon"</f>
        <v>Staddon</v>
      </c>
      <c r="G3370" t="str">
        <f>"supply"</f>
        <v>supply</v>
      </c>
    </row>
    <row r="3371" spans="1:7" x14ac:dyDescent="0.25">
      <c r="A3371" t="str">
        <f>"Managing the Unknown : Essays on Environmental Ignorance"</f>
        <v>Managing the Unknown : Essays on Environmental Ignorance</v>
      </c>
      <c r="B3371" t="str">
        <f>"9781782382522"</f>
        <v>9781782382522</v>
      </c>
      <c r="C3371">
        <v>51</v>
      </c>
      <c r="D3371" t="str">
        <f>"GBP"</f>
        <v>GBP</v>
      </c>
      <c r="E3371" t="str">
        <f>"2014"</f>
        <v>2014</v>
      </c>
      <c r="F3371" t="str">
        <f>"Uekotter/LÃ¼bken"</f>
        <v>Uekotter/LÃ¼bken</v>
      </c>
      <c r="G3371" t="str">
        <f>"arzinbooks"</f>
        <v>arzinbooks</v>
      </c>
    </row>
    <row r="3372" spans="1:7" x14ac:dyDescent="0.25">
      <c r="A3372" t="str">
        <f>"MANAGING WATER FOR ALL : AN OECD PERSPECTIVE ON PRICING"</f>
        <v>MANAGING WATER FOR ALL : AN OECD PERSPECTIVE ON PRICING</v>
      </c>
      <c r="B3372" t="str">
        <f>"9781843392798"</f>
        <v>9781843392798</v>
      </c>
      <c r="C3372">
        <v>7.5</v>
      </c>
      <c r="D3372" t="str">
        <f>"GBP"</f>
        <v>GBP</v>
      </c>
      <c r="E3372" t="str">
        <f>"2009"</f>
        <v>2009</v>
      </c>
      <c r="F3372" t="str">
        <f>"ORGANISATION FOR EC"</f>
        <v>ORGANISATION FOR EC</v>
      </c>
      <c r="G3372" t="str">
        <f>"AsarBartar"</f>
        <v>AsarBartar</v>
      </c>
    </row>
    <row r="3373" spans="1:7" x14ac:dyDescent="0.25">
      <c r="A3373" t="str">
        <f>"Manganese Removal from Groundwater: Role of Biological and Physico-Chemical Autocatalytic Processes"</f>
        <v>Manganese Removal from Groundwater: Role of Biological and Physico-Chemical Autocatalytic Processes</v>
      </c>
      <c r="B3373" t="str">
        <f>"9781138030022"</f>
        <v>9781138030022</v>
      </c>
      <c r="C3373">
        <v>36.9</v>
      </c>
      <c r="D3373" t="str">
        <f>"GBP"</f>
        <v>GBP</v>
      </c>
      <c r="E3373" t="str">
        <f>"2017"</f>
        <v>2017</v>
      </c>
      <c r="F3373" t="str">
        <f>"J.H. Bruins"</f>
        <v>J.H. Bruins</v>
      </c>
      <c r="G3373" t="str">
        <f>"AsarBartar"</f>
        <v>AsarBartar</v>
      </c>
    </row>
    <row r="3374" spans="1:7" x14ac:dyDescent="0.25">
      <c r="A3374" t="str">
        <f>"Manufactured Gas Plant Remediation: A Case Study"</f>
        <v>Manufactured Gas Plant Remediation: A Case Study</v>
      </c>
      <c r="B3374" t="str">
        <f>"9781498796835"</f>
        <v>9781498796835</v>
      </c>
      <c r="C3374">
        <v>97.2</v>
      </c>
      <c r="D3374" t="str">
        <f>"GBP"</f>
        <v>GBP</v>
      </c>
      <c r="E3374" t="str">
        <f>"2018"</f>
        <v>2018</v>
      </c>
      <c r="F3374" t="str">
        <f>"Hatheway"</f>
        <v>Hatheway</v>
      </c>
      <c r="G3374" t="str">
        <f>"sal"</f>
        <v>sal</v>
      </c>
    </row>
    <row r="3375" spans="1:7" x14ac:dyDescent="0.25">
      <c r="A3375" t="str">
        <f>"Marine Chemical Monitoring: Policies, Techniques and Metrological Principles"</f>
        <v>Marine Chemical Monitoring: Policies, Techniques and Metrological Principles</v>
      </c>
      <c r="B3375" t="str">
        <f>"9781848217409"</f>
        <v>9781848217409</v>
      </c>
      <c r="C3375">
        <v>106.3</v>
      </c>
      <c r="D3375" t="str">
        <f>"USD"</f>
        <v>USD</v>
      </c>
      <c r="E3375" t="str">
        <f>"2016"</f>
        <v>2016</v>
      </c>
      <c r="F3375" t="str">
        <f>"Quevauviller"</f>
        <v>Quevauviller</v>
      </c>
      <c r="G3375" t="str">
        <f>"avanddanesh"</f>
        <v>avanddanesh</v>
      </c>
    </row>
    <row r="3376" spans="1:7" x14ac:dyDescent="0.25">
      <c r="A3376" t="str">
        <f>"Marine Conservation"</f>
        <v>Marine Conservation</v>
      </c>
      <c r="B3376" t="str">
        <f>"9781108412629"</f>
        <v>9781108412629</v>
      </c>
      <c r="C3376">
        <v>38.299999999999997</v>
      </c>
      <c r="D3376" t="str">
        <f>"GBP"</f>
        <v>GBP</v>
      </c>
      <c r="E3376" t="str">
        <f>"2017"</f>
        <v>2017</v>
      </c>
      <c r="F3376" t="str">
        <f>"Probert"</f>
        <v>Probert</v>
      </c>
      <c r="G3376" t="str">
        <f>"arzinbooks"</f>
        <v>arzinbooks</v>
      </c>
    </row>
    <row r="3377" spans="1:7" x14ac:dyDescent="0.25">
      <c r="A3377" t="str">
        <f>"Marine Ecological Field Methods: A Guide for Marine Biologists and Fisheries Scientists"</f>
        <v>Marine Ecological Field Methods: A Guide for Marine Biologists and Fisheries Scientists</v>
      </c>
      <c r="B3377" t="str">
        <f>"9781119184300"</f>
        <v>9781119184300</v>
      </c>
      <c r="C3377">
        <v>76.5</v>
      </c>
      <c r="D3377" t="str">
        <f>"USD"</f>
        <v>USD</v>
      </c>
      <c r="E3377" t="str">
        <f>"2018"</f>
        <v>2018</v>
      </c>
      <c r="F3377" t="str">
        <f>"Gro Salvanes"</f>
        <v>Gro Salvanes</v>
      </c>
      <c r="G3377" t="str">
        <f>"avanddanesh"</f>
        <v>avanddanesh</v>
      </c>
    </row>
    <row r="3378" spans="1:7" x14ac:dyDescent="0.25">
      <c r="A3378" t="str">
        <f>"Marine Ecological Processes "</f>
        <v xml:space="preserve">Marine Ecological Processes </v>
      </c>
      <c r="B3378" t="str">
        <f>"9780387790688"</f>
        <v>9780387790688</v>
      </c>
      <c r="C3378">
        <v>59.06</v>
      </c>
      <c r="D3378" t="str">
        <f>"USD"</f>
        <v>USD</v>
      </c>
      <c r="E3378" t="str">
        <f>"2016"</f>
        <v>2016</v>
      </c>
      <c r="F3378" t="str">
        <f>"Valiela "</f>
        <v xml:space="preserve">Valiela </v>
      </c>
      <c r="G3378" t="str">
        <f>"jahanadib"</f>
        <v>jahanadib</v>
      </c>
    </row>
    <row r="3379" spans="1:7" x14ac:dyDescent="0.25">
      <c r="A3379" t="str">
        <f>"Marine Geochemistry,3e"</f>
        <v>Marine Geochemistry,3e</v>
      </c>
      <c r="B3379" t="str">
        <f>"9781405187343"</f>
        <v>9781405187343</v>
      </c>
      <c r="C3379">
        <v>36</v>
      </c>
      <c r="D3379" t="str">
        <f>"USD"</f>
        <v>USD</v>
      </c>
      <c r="E3379" t="str">
        <f>"2012"</f>
        <v>2012</v>
      </c>
      <c r="F3379" t="str">
        <f>"Chester"</f>
        <v>Chester</v>
      </c>
      <c r="G3379" t="str">
        <f>"avanddanesh"</f>
        <v>avanddanesh</v>
      </c>
    </row>
    <row r="3380" spans="1:7" x14ac:dyDescent="0.25">
      <c r="A3380" t="str">
        <f>"Marine Organic Micropollutants: A Case Study of the Sundarban Mangrove Wetland"</f>
        <v>Marine Organic Micropollutants: A Case Study of the Sundarban Mangrove Wetland</v>
      </c>
      <c r="B3380" t="str">
        <f>"9783319433004"</f>
        <v>9783319433004</v>
      </c>
      <c r="C3380">
        <v>49.49</v>
      </c>
      <c r="D3380" t="str">
        <f>"EUR"</f>
        <v>EUR</v>
      </c>
      <c r="E3380" t="str">
        <f>"2016"</f>
        <v>2016</v>
      </c>
      <c r="F3380" t="str">
        <f>"Sarkar"</f>
        <v>Sarkar</v>
      </c>
      <c r="G3380" t="str">
        <f>"negarestanabi"</f>
        <v>negarestanabi</v>
      </c>
    </row>
    <row r="3381" spans="1:7" x14ac:dyDescent="0.25">
      <c r="A3381" t="str">
        <f>"Marine Pollution and Microbial Remediation"</f>
        <v>Marine Pollution and Microbial Remediation</v>
      </c>
      <c r="B3381" t="str">
        <f>"9789811010422"</f>
        <v>9789811010422</v>
      </c>
      <c r="C3381">
        <v>134.99</v>
      </c>
      <c r="D3381" t="str">
        <f>"EUR"</f>
        <v>EUR</v>
      </c>
      <c r="E3381" t="str">
        <f>"2017"</f>
        <v>2017</v>
      </c>
      <c r="F3381" t="str">
        <f>"Naik"</f>
        <v>Naik</v>
      </c>
      <c r="G3381" t="str">
        <f>"negarestanabi"</f>
        <v>negarestanabi</v>
      </c>
    </row>
    <row r="3382" spans="1:7" x14ac:dyDescent="0.25">
      <c r="A3382" t="str">
        <f>"Marine Sponges: Chemicobiological and Biomedical Applications"</f>
        <v>Marine Sponges: Chemicobiological and Biomedical Applications</v>
      </c>
      <c r="B3382" t="str">
        <f>"9788132227922"</f>
        <v>9788132227922</v>
      </c>
      <c r="C3382">
        <v>134.99</v>
      </c>
      <c r="D3382" t="str">
        <f>"EUR"</f>
        <v>EUR</v>
      </c>
      <c r="E3382" t="str">
        <f>"2016"</f>
        <v>2016</v>
      </c>
      <c r="F3382" t="str">
        <f>"Pallela"</f>
        <v>Pallela</v>
      </c>
      <c r="G3382" t="str">
        <f>"negarestanabi"</f>
        <v>negarestanabi</v>
      </c>
    </row>
    <row r="3383" spans="1:7" x14ac:dyDescent="0.25">
      <c r="A3383" t="str">
        <f>"Materials for a Healthy, Ecological and Sustainable Built Environment, Principles for Evaluation"</f>
        <v>Materials for a Healthy, Ecological and Sustainable Built Environment, Principles for Evaluation</v>
      </c>
      <c r="B3383" t="str">
        <f>"9780081007006"</f>
        <v>9780081007006</v>
      </c>
      <c r="C3383">
        <v>193.5</v>
      </c>
      <c r="D3383" t="str">
        <f t="shared" ref="D3383:D3388" si="195">"USD"</f>
        <v>USD</v>
      </c>
      <c r="E3383" t="str">
        <f>"2017"</f>
        <v>2017</v>
      </c>
      <c r="F3383" t="str">
        <f>"Petrovic et al"</f>
        <v>Petrovic et al</v>
      </c>
      <c r="G3383" t="str">
        <f>"dehkadehketab"</f>
        <v>dehkadehketab</v>
      </c>
    </row>
    <row r="3384" spans="1:7" x14ac:dyDescent="0.25">
      <c r="A3384" t="str">
        <f>"Mathematical and Physical Fundamentals of Climate Change"</f>
        <v>Mathematical and Physical Fundamentals of Climate Change</v>
      </c>
      <c r="B3384" t="str">
        <f>"9780128000663"</f>
        <v>9780128000663</v>
      </c>
      <c r="C3384">
        <v>89.95</v>
      </c>
      <c r="D3384" t="str">
        <f t="shared" si="195"/>
        <v>USD</v>
      </c>
      <c r="E3384" t="str">
        <f>"2014"</f>
        <v>2014</v>
      </c>
      <c r="F3384" t="str">
        <f>"Zhang and Moore"</f>
        <v>Zhang and Moore</v>
      </c>
      <c r="G3384" t="str">
        <f>"arang"</f>
        <v>arang</v>
      </c>
    </row>
    <row r="3385" spans="1:7" x14ac:dyDescent="0.25">
      <c r="A3385" t="str">
        <f>"MCGRAW-HILL EDUCATION YEARBOOK OF SCIENCE &amp; TECHNOLOGY"</f>
        <v>MCGRAW-HILL EDUCATION YEARBOOK OF SCIENCE &amp; TECHNOLOGY</v>
      </c>
      <c r="B3385" t="str">
        <f>"9780071835763"</f>
        <v>9780071835763</v>
      </c>
      <c r="C3385">
        <v>169.15</v>
      </c>
      <c r="D3385" t="str">
        <f t="shared" si="195"/>
        <v>USD</v>
      </c>
      <c r="E3385" t="str">
        <f>"2015"</f>
        <v>2015</v>
      </c>
      <c r="F3385" t="str">
        <f>"MCGRAW-HILL EDUCATI"</f>
        <v>MCGRAW-HILL EDUCATI</v>
      </c>
      <c r="G3385" t="str">
        <f>"AsarBartar"</f>
        <v>AsarBartar</v>
      </c>
    </row>
    <row r="3386" spans="1:7" x14ac:dyDescent="0.25">
      <c r="A3386" t="str">
        <f>"Measurements for Terrestrial Vegetation,2e"</f>
        <v>Measurements for Terrestrial Vegetation,2e</v>
      </c>
      <c r="B3386" t="str">
        <f>"9780470972588"</f>
        <v>9780470972588</v>
      </c>
      <c r="C3386">
        <v>42.3</v>
      </c>
      <c r="D3386" t="str">
        <f t="shared" si="195"/>
        <v>USD</v>
      </c>
      <c r="E3386" t="str">
        <f>"2013"</f>
        <v>2013</v>
      </c>
      <c r="F3386" t="str">
        <f>"Bonham"</f>
        <v>Bonham</v>
      </c>
      <c r="G3386" t="str">
        <f>"avanddanesh"</f>
        <v>avanddanesh</v>
      </c>
    </row>
    <row r="3387" spans="1:7" x14ac:dyDescent="0.25">
      <c r="A3387" t="str">
        <f>"Mediterranean Mountain Environments"</f>
        <v>Mediterranean Mountain Environments</v>
      </c>
      <c r="B3387" t="str">
        <f>"9780470686256"</f>
        <v>9780470686256</v>
      </c>
      <c r="C3387">
        <v>36</v>
      </c>
      <c r="D3387" t="str">
        <f t="shared" si="195"/>
        <v>USD</v>
      </c>
      <c r="E3387" t="str">
        <f>"2012"</f>
        <v>2012</v>
      </c>
      <c r="F3387" t="str">
        <f>"Vogiatzakis"</f>
        <v>Vogiatzakis</v>
      </c>
      <c r="G3387" t="str">
        <f>"avanddanesh"</f>
        <v>avanddanesh</v>
      </c>
    </row>
    <row r="3388" spans="1:7" x14ac:dyDescent="0.25">
      <c r="A3388" t="str">
        <f>"Mediterranean Sea: Temporal Variability and Spatial Patterns"</f>
        <v>Mediterranean Sea: Temporal Variability and Spatial Patterns</v>
      </c>
      <c r="B3388" t="str">
        <f>"9781118847343"</f>
        <v>9781118847343</v>
      </c>
      <c r="C3388">
        <v>100.5</v>
      </c>
      <c r="D3388" t="str">
        <f t="shared" si="195"/>
        <v>USD</v>
      </c>
      <c r="E3388" t="str">
        <f>"2014"</f>
        <v>2014</v>
      </c>
      <c r="F3388" t="str">
        <f>"Borzelli"</f>
        <v>Borzelli</v>
      </c>
      <c r="G3388" t="str">
        <f>"avanddanesh"</f>
        <v>avanddanesh</v>
      </c>
    </row>
    <row r="3389" spans="1:7" x14ac:dyDescent="0.25">
      <c r="A3389" t="str">
        <f>"MEETING THE CHALLENGE OF FINANCING WATER AND SANITATION"</f>
        <v>MEETING THE CHALLENGE OF FINANCING WATER AND SANITATION</v>
      </c>
      <c r="B3389" t="str">
        <f>"9781780400327"</f>
        <v>9781780400327</v>
      </c>
      <c r="C3389">
        <v>6.9</v>
      </c>
      <c r="D3389" t="str">
        <f>"GBP"</f>
        <v>GBP</v>
      </c>
      <c r="E3389" t="str">
        <f>"2011"</f>
        <v>2011</v>
      </c>
      <c r="F3389" t="str">
        <f>"ORGANISATION FOR EC"</f>
        <v>ORGANISATION FOR EC</v>
      </c>
      <c r="G3389" t="str">
        <f>"AsarBartar"</f>
        <v>AsarBartar</v>
      </c>
    </row>
    <row r="3390" spans="1:7" x14ac:dyDescent="0.25">
      <c r="A3390" t="str">
        <f>"Membrane Technologies for Water Treatment: Removal of Toxic Trace Elements with Emphasis on Arsenic, Fluoride and Uranium (Sustainable Water ... Mana"</f>
        <v>Membrane Technologies for Water Treatment: Removal of Toxic Trace Elements with Emphasis on Arsenic, Fluoride and Uranium (Sustainable Water ... Mana</v>
      </c>
      <c r="B3390" t="str">
        <f>"9781138027206"</f>
        <v>9781138027206</v>
      </c>
      <c r="C3390">
        <v>107.95</v>
      </c>
      <c r="D3390" t="str">
        <f>"GBP"</f>
        <v>GBP</v>
      </c>
      <c r="E3390" t="str">
        <f>"2015"</f>
        <v>2015</v>
      </c>
      <c r="F3390" t="str">
        <f>"Jochen Bundschuh(Ed"</f>
        <v>Jochen Bundschuh(Ed</v>
      </c>
      <c r="G3390" t="str">
        <f>"AsarBartar"</f>
        <v>AsarBartar</v>
      </c>
    </row>
    <row r="3391" spans="1:7" x14ac:dyDescent="0.25">
      <c r="A3391" t="str">
        <f>"Membrane Technology and Engineering for Water Purification, Application, Systems Design and Operation, 2nd Edition"</f>
        <v>Membrane Technology and Engineering for Water Purification, Application, Systems Design and Operation, 2nd Edition</v>
      </c>
      <c r="B3391" t="str">
        <f>"9780081013274"</f>
        <v>9780081013274</v>
      </c>
      <c r="C3391">
        <v>198</v>
      </c>
      <c r="D3391" t="str">
        <f>"USD"</f>
        <v>USD</v>
      </c>
      <c r="E3391" t="str">
        <f>"2017"</f>
        <v>2017</v>
      </c>
      <c r="F3391" t="str">
        <f>"Singh"</f>
        <v>Singh</v>
      </c>
      <c r="G3391" t="str">
        <f>"dehkadehketab"</f>
        <v>dehkadehketab</v>
      </c>
    </row>
    <row r="3392" spans="1:7" x14ac:dyDescent="0.25">
      <c r="A3392" t="str">
        <f>"Memories and Reflections: The Life, Work and Observations of an Agricultural and Environmental Scientist"</f>
        <v>Memories and Reflections: The Life, Work and Observations of an Agricultural and Environmental Scientist</v>
      </c>
      <c r="B3392" t="str">
        <f>"9781783265725"</f>
        <v>9781783265725</v>
      </c>
      <c r="C3392">
        <v>38.4</v>
      </c>
      <c r="D3392" t="str">
        <f>"GBP"</f>
        <v>GBP</v>
      </c>
      <c r="E3392" t="str">
        <f>"2014"</f>
        <v>2014</v>
      </c>
      <c r="F3392" t="str">
        <f>"Daniel Hillel"</f>
        <v>Daniel Hillel</v>
      </c>
      <c r="G3392" t="str">
        <f>"AsarBartar"</f>
        <v>AsarBartar</v>
      </c>
    </row>
    <row r="3393" spans="1:7" x14ac:dyDescent="0.25">
      <c r="A3393" t="str">
        <f>"Mental Modeling Approach: Risk Management Application Case Studies"</f>
        <v>Mental Modeling Approach: Risk Management Application Case Studies</v>
      </c>
      <c r="B3393" t="str">
        <f>"9781493966141"</f>
        <v>9781493966141</v>
      </c>
      <c r="C3393">
        <v>125.99</v>
      </c>
      <c r="D3393" t="str">
        <f>"EUR"</f>
        <v>EUR</v>
      </c>
      <c r="E3393" t="str">
        <f>"2017"</f>
        <v>2017</v>
      </c>
      <c r="F3393" t="str">
        <f>"Wood"</f>
        <v>Wood</v>
      </c>
      <c r="G3393" t="str">
        <f>"negarestanabi"</f>
        <v>negarestanabi</v>
      </c>
    </row>
    <row r="3394" spans="1:7" x14ac:dyDescent="0.25">
      <c r="A3394" t="str">
        <f>"Metabolic Ecology: A Scaling Approach"</f>
        <v>Metabolic Ecology: A Scaling Approach</v>
      </c>
      <c r="B3394" t="str">
        <f>"9780470671528"</f>
        <v>9780470671528</v>
      </c>
      <c r="C3394">
        <v>48</v>
      </c>
      <c r="D3394" t="str">
        <f>"USD"</f>
        <v>USD</v>
      </c>
      <c r="E3394" t="str">
        <f>"2012"</f>
        <v>2012</v>
      </c>
      <c r="F3394" t="str">
        <f>"Sibly"</f>
        <v>Sibly</v>
      </c>
      <c r="G3394" t="str">
        <f>"avanddanesh"</f>
        <v>avanddanesh</v>
      </c>
    </row>
    <row r="3395" spans="1:7" x14ac:dyDescent="0.25">
      <c r="A3395" t="str">
        <f>"Metal Removal and Recovery from Mining Wastewater and E-waste Leachate"</f>
        <v>Metal Removal and Recovery from Mining Wastewater and E-waste Leachate</v>
      </c>
      <c r="B3395" t="str">
        <f>"9781138029491"</f>
        <v>9781138029491</v>
      </c>
      <c r="C3395">
        <v>33.15</v>
      </c>
      <c r="D3395" t="str">
        <f>"GBP"</f>
        <v>GBP</v>
      </c>
      <c r="E3395" t="str">
        <f>"2016"</f>
        <v>2016</v>
      </c>
      <c r="F3395" t="str">
        <f>"Suthee Janyasuthiwo"</f>
        <v>Suthee Janyasuthiwo</v>
      </c>
      <c r="G3395" t="str">
        <f>"AsarBartar"</f>
        <v>AsarBartar</v>
      </c>
    </row>
    <row r="3396" spans="1:7" x14ac:dyDescent="0.25">
      <c r="A3396" t="str">
        <f>"Metamorphosis of the World: How Climate Change is Transforming Our Concept of the World"</f>
        <v>Metamorphosis of the World: How Climate Change is Transforming Our Concept of the World</v>
      </c>
      <c r="B3396" t="str">
        <f>"9780745690223"</f>
        <v>9780745690223</v>
      </c>
      <c r="C3396">
        <v>15.3</v>
      </c>
      <c r="D3396" t="str">
        <f>"USD"</f>
        <v>USD</v>
      </c>
      <c r="E3396" t="str">
        <f>"2017"</f>
        <v>2017</v>
      </c>
      <c r="F3396" t="str">
        <f>"Beck"</f>
        <v>Beck</v>
      </c>
      <c r="G3396" t="str">
        <f>"avanddanesh"</f>
        <v>avanddanesh</v>
      </c>
    </row>
    <row r="3397" spans="1:7" x14ac:dyDescent="0.25">
      <c r="A3397" t="str">
        <f>"Meteorological Measurements and Instrumentation"</f>
        <v>Meteorological Measurements and Instrumentation</v>
      </c>
      <c r="B3397" t="str">
        <f>"9781118745809"</f>
        <v>9781118745809</v>
      </c>
      <c r="C3397">
        <v>56.3</v>
      </c>
      <c r="D3397" t="str">
        <f>"USD"</f>
        <v>USD</v>
      </c>
      <c r="E3397" t="str">
        <f>"2014"</f>
        <v>2014</v>
      </c>
      <c r="F3397" t="str">
        <f>"Harrison"</f>
        <v>Harrison</v>
      </c>
      <c r="G3397" t="str">
        <f>"avanddanesh"</f>
        <v>avanddanesh</v>
      </c>
    </row>
    <row r="3398" spans="1:7" x14ac:dyDescent="0.25">
      <c r="A3398" t="str">
        <f>"Methods and Applications of Statistics in the Atmospheric and Earth Sciences"</f>
        <v>Methods and Applications of Statistics in the Atmospheric and Earth Sciences</v>
      </c>
      <c r="B3398" t="str">
        <f>"9780470503447"</f>
        <v>9780470503447</v>
      </c>
      <c r="C3398">
        <v>127.2</v>
      </c>
      <c r="D3398" t="str">
        <f>"USD"</f>
        <v>USD</v>
      </c>
      <c r="E3398" t="str">
        <f>"2012"</f>
        <v>2012</v>
      </c>
      <c r="F3398" t="str">
        <f>"Balakrishnan"</f>
        <v>Balakrishnan</v>
      </c>
      <c r="G3398" t="str">
        <f>"avanddanesh"</f>
        <v>avanddanesh</v>
      </c>
    </row>
    <row r="3399" spans="1:7" x14ac:dyDescent="0.25">
      <c r="A3399" t="str">
        <f>"Methods for the Quantitative Assessment of Channel Processes in Torrents (Steep Streams) (IAHR Monographs)"</f>
        <v>Methods for the Quantitative Assessment of Channel Processes in Torrents (Steep Streams) (IAHR Monographs)</v>
      </c>
      <c r="B3399" t="str">
        <f>"9781138029613"</f>
        <v>9781138029613</v>
      </c>
      <c r="C3399">
        <v>33.15</v>
      </c>
      <c r="D3399" t="str">
        <f>"GBP"</f>
        <v>GBP</v>
      </c>
      <c r="E3399" t="str">
        <f>"2016"</f>
        <v>2016</v>
      </c>
      <c r="F3399" t="str">
        <f>"Dieter Rickenmann"</f>
        <v>Dieter Rickenmann</v>
      </c>
      <c r="G3399" t="str">
        <f>"AsarBartar"</f>
        <v>AsarBartar</v>
      </c>
    </row>
    <row r="3400" spans="1:7" x14ac:dyDescent="0.25">
      <c r="A3400" t="str">
        <f>"Methods in Stream Ecology, Volume 1: Ecosystem Structure, 3rd Edition"</f>
        <v>Methods in Stream Ecology, Volume 1: Ecosystem Structure, 3rd Edition</v>
      </c>
      <c r="B3400" t="str">
        <f>"9780124165588"</f>
        <v>9780124165588</v>
      </c>
      <c r="C3400">
        <v>71.95</v>
      </c>
      <c r="D3400" t="str">
        <f>"USD"</f>
        <v>USD</v>
      </c>
      <c r="E3400" t="str">
        <f>"2017"</f>
        <v>2017</v>
      </c>
      <c r="F3400" t="str">
        <f>"Hauer and Lamberti"</f>
        <v>Hauer and Lamberti</v>
      </c>
      <c r="G3400" t="str">
        <f>"arang"</f>
        <v>arang</v>
      </c>
    </row>
    <row r="3401" spans="1:7" x14ac:dyDescent="0.25">
      <c r="A3401" t="str">
        <f>"Methods in Stream Ecology, Volume 1: Ecosystem Structure, 3rd Edition"</f>
        <v>Methods in Stream Ecology, Volume 1: Ecosystem Structure, 3rd Edition</v>
      </c>
      <c r="B3401" t="str">
        <f>"9780124116306"</f>
        <v>9780124116306</v>
      </c>
      <c r="C3401">
        <v>71.95</v>
      </c>
      <c r="D3401" t="str">
        <f>"USD"</f>
        <v>USD</v>
      </c>
      <c r="E3401" t="str">
        <f>"2017"</f>
        <v>2017</v>
      </c>
      <c r="F3401" t="str">
        <f>"Hauer and Lamberti"</f>
        <v>Hauer and Lamberti</v>
      </c>
      <c r="G3401" t="str">
        <f>"dehkadehketab"</f>
        <v>dehkadehketab</v>
      </c>
    </row>
    <row r="3402" spans="1:7" x14ac:dyDescent="0.25">
      <c r="A3402" t="str">
        <f>"Methods in Stream Ecology, Volume 2: Ecosystem Function, 3rd Edition"</f>
        <v>Methods in Stream Ecology, Volume 2: Ecosystem Function, 3rd Edition</v>
      </c>
      <c r="B3402" t="str">
        <f>"9780128130476"</f>
        <v>9780128130476</v>
      </c>
      <c r="C3402">
        <v>71.95</v>
      </c>
      <c r="D3402" t="str">
        <f>"USD"</f>
        <v>USD</v>
      </c>
      <c r="E3402" t="str">
        <f>"2017"</f>
        <v>2017</v>
      </c>
      <c r="F3402" t="str">
        <f>"Hauer and Lamberti"</f>
        <v>Hauer and Lamberti</v>
      </c>
      <c r="G3402" t="str">
        <f>"arang"</f>
        <v>arang</v>
      </c>
    </row>
    <row r="3403" spans="1:7" x14ac:dyDescent="0.25">
      <c r="A3403" t="str">
        <f>"Microbe-Induced Degradation of Pesticides"</f>
        <v>Microbe-Induced Degradation of Pesticides</v>
      </c>
      <c r="B3403" t="str">
        <f>"9783319451558"</f>
        <v>9783319451558</v>
      </c>
      <c r="C3403">
        <v>125.99</v>
      </c>
      <c r="D3403" t="str">
        <f>"EUR"</f>
        <v>EUR</v>
      </c>
      <c r="E3403" t="str">
        <f>"2017"</f>
        <v>2017</v>
      </c>
      <c r="F3403" t="str">
        <f>"Singh"</f>
        <v>Singh</v>
      </c>
      <c r="G3403" t="str">
        <f>"negarestanabi"</f>
        <v>negarestanabi</v>
      </c>
    </row>
    <row r="3404" spans="1:7" x14ac:dyDescent="0.25">
      <c r="A3404" t="str">
        <f>"Microbial Biotechnology in Environmental Monitoring and Cleanup"</f>
        <v>Microbial Biotechnology in Environmental Monitoring and Cleanup</v>
      </c>
      <c r="B3404" t="str">
        <f>"9781522531265"</f>
        <v>9781522531265</v>
      </c>
      <c r="C3404">
        <v>176.3</v>
      </c>
      <c r="D3404" t="str">
        <f>"USD"</f>
        <v>USD</v>
      </c>
      <c r="E3404" t="str">
        <f>"2018"</f>
        <v>2018</v>
      </c>
      <c r="F3404" t="str">
        <f>"Pankaj &amp; Anita Sharm"</f>
        <v>Pankaj &amp; Anita Sharm</v>
      </c>
      <c r="G3404" t="str">
        <f>"arzinbooks"</f>
        <v>arzinbooks</v>
      </c>
    </row>
    <row r="3405" spans="1:7" x14ac:dyDescent="0.25">
      <c r="A3405" t="str">
        <f>"Microbial Ecology of the Oceans,3e"</f>
        <v>Microbial Ecology of the Oceans,3e</v>
      </c>
      <c r="B3405" t="str">
        <f>"9781119107187"</f>
        <v>9781119107187</v>
      </c>
      <c r="C3405">
        <v>117</v>
      </c>
      <c r="D3405" t="str">
        <f>"USD"</f>
        <v>USD</v>
      </c>
      <c r="E3405" t="str">
        <f>"2018"</f>
        <v>2018</v>
      </c>
      <c r="F3405" t="str">
        <f>"Gasol"</f>
        <v>Gasol</v>
      </c>
      <c r="G3405" t="str">
        <f>"avanddanesh"</f>
        <v>avanddanesh</v>
      </c>
    </row>
    <row r="3406" spans="1:7" x14ac:dyDescent="0.25">
      <c r="A3406" t="str">
        <f>"Microbial Fuel Cell: A Bioelectrochemical System that Converts Waste to Watts"</f>
        <v>Microbial Fuel Cell: A Bioelectrochemical System that Converts Waste to Watts</v>
      </c>
      <c r="B3406" t="str">
        <f>"9783319667928"</f>
        <v>9783319667928</v>
      </c>
      <c r="C3406">
        <v>161.99</v>
      </c>
      <c r="D3406" t="str">
        <f>"EUR"</f>
        <v>EUR</v>
      </c>
      <c r="E3406" t="str">
        <f>"2018"</f>
        <v>2018</v>
      </c>
      <c r="F3406" t="str">
        <f>"Das"</f>
        <v>Das</v>
      </c>
      <c r="G3406" t="str">
        <f>"negarestanabi"</f>
        <v>negarestanabi</v>
      </c>
    </row>
    <row r="3407" spans="1:7" x14ac:dyDescent="0.25">
      <c r="A3407" t="str">
        <f>"Microbiology of Aerosols"</f>
        <v>Microbiology of Aerosols</v>
      </c>
      <c r="B3407" t="str">
        <f>"9781119132288"</f>
        <v>9781119132288</v>
      </c>
      <c r="C3407">
        <v>162</v>
      </c>
      <c r="D3407" t="str">
        <f>"USD"</f>
        <v>USD</v>
      </c>
      <c r="E3407" t="str">
        <f>"2017"</f>
        <v>2017</v>
      </c>
      <c r="F3407" t="str">
        <f>"Delort"</f>
        <v>Delort</v>
      </c>
      <c r="G3407" t="str">
        <f>"avanddanesh"</f>
        <v>avanddanesh</v>
      </c>
    </row>
    <row r="3408" spans="1:7" x14ac:dyDescent="0.25">
      <c r="A3408" t="str">
        <f>"Microbiology of Drinking Water Production and Distribution"</f>
        <v>Microbiology of Drinking Water Production and Distribution</v>
      </c>
      <c r="B3408" t="str">
        <f>"9781118743928"</f>
        <v>9781118743928</v>
      </c>
      <c r="C3408">
        <v>100.5</v>
      </c>
      <c r="D3408" t="str">
        <f>"USD"</f>
        <v>USD</v>
      </c>
      <c r="E3408" t="str">
        <f>"2014"</f>
        <v>2014</v>
      </c>
      <c r="F3408" t="str">
        <f>"Bitton"</f>
        <v>Bitton</v>
      </c>
      <c r="G3408" t="str">
        <f>"avanddanesh"</f>
        <v>avanddanesh</v>
      </c>
    </row>
    <row r="3409" spans="1:7" x14ac:dyDescent="0.25">
      <c r="A3409" t="str">
        <f>"MICROORGANISMS IN HOME AND INDOOR WORK ENVIRONMENTS"</f>
        <v>MICROORGANISMS IN HOME AND INDOOR WORK ENVIRONMENTS</v>
      </c>
      <c r="B3409" t="str">
        <f>"9781420093346"</f>
        <v>9781420093346</v>
      </c>
      <c r="C3409">
        <v>28.5</v>
      </c>
      <c r="D3409" t="str">
        <f>"GBP"</f>
        <v>GBP</v>
      </c>
      <c r="E3409" t="str">
        <f>"2011"</f>
        <v>2011</v>
      </c>
      <c r="F3409" t="str">
        <f>"BRIAN FLANNIGAN"</f>
        <v>BRIAN FLANNIGAN</v>
      </c>
      <c r="G3409" t="str">
        <f>"AsarBartar"</f>
        <v>AsarBartar</v>
      </c>
    </row>
    <row r="3410" spans="1:7" x14ac:dyDescent="0.25">
      <c r="A3410" t="str">
        <f>"Mimicry, Crypsis, Masquerade and other Adaptive Resemblances"</f>
        <v>Mimicry, Crypsis, Masquerade and other Adaptive Resemblances</v>
      </c>
      <c r="B3410" t="str">
        <f>"9781118931530"</f>
        <v>9781118931530</v>
      </c>
      <c r="C3410">
        <v>85.5</v>
      </c>
      <c r="D3410" t="str">
        <f>"USD"</f>
        <v>USD</v>
      </c>
      <c r="E3410" t="str">
        <f>"2017"</f>
        <v>2017</v>
      </c>
      <c r="F3410" t="str">
        <f>"Quicke"</f>
        <v>Quicke</v>
      </c>
      <c r="G3410" t="str">
        <f>"avanddanesh"</f>
        <v>avanddanesh</v>
      </c>
    </row>
    <row r="3411" spans="1:7" x14ac:dyDescent="0.25">
      <c r="A3411" t="str">
        <f>"Mine and Mineral Economics"</f>
        <v>Mine and Mineral Economics</v>
      </c>
      <c r="B3411" t="str">
        <f>"9788120351745"</f>
        <v>9788120351745</v>
      </c>
      <c r="C3411">
        <v>21.25</v>
      </c>
      <c r="D3411" t="str">
        <f>"USD"</f>
        <v>USD</v>
      </c>
      <c r="E3411" t="str">
        <f>"2016"</f>
        <v>2016</v>
      </c>
      <c r="F3411" t="str">
        <f>"Ray"</f>
        <v>Ray</v>
      </c>
      <c r="G3411" t="str">
        <f>"safirketab"</f>
        <v>safirketab</v>
      </c>
    </row>
    <row r="3412" spans="1:7" x14ac:dyDescent="0.25">
      <c r="A3412" t="str">
        <f>"Mineral Economics and Policy"</f>
        <v>Mineral Economics and Policy</v>
      </c>
      <c r="B3412" t="str">
        <f>"9781138838956"</f>
        <v>9781138838956</v>
      </c>
      <c r="C3412">
        <v>29.75</v>
      </c>
      <c r="D3412" t="str">
        <f>"GBP"</f>
        <v>GBP</v>
      </c>
      <c r="E3412" t="str">
        <f>"2016"</f>
        <v>2016</v>
      </c>
      <c r="F3412" t="str">
        <f>"John E. Tilton,Juan"</f>
        <v>John E. Tilton,Juan</v>
      </c>
      <c r="G3412" t="str">
        <f>"AsarBartar"</f>
        <v>AsarBartar</v>
      </c>
    </row>
    <row r="3413" spans="1:7" x14ac:dyDescent="0.25">
      <c r="A3413" t="str">
        <f>"MINERALS, METALS AND SUSTAINABILITY"</f>
        <v>MINERALS, METALS AND SUSTAINABILITY</v>
      </c>
      <c r="B3413" t="str">
        <f>"9780415684590"</f>
        <v>9780415684590</v>
      </c>
      <c r="C3413">
        <v>19.190000000000001</v>
      </c>
      <c r="D3413" t="str">
        <f>"GBP"</f>
        <v>GBP</v>
      </c>
      <c r="E3413" t="str">
        <f>"2011"</f>
        <v>2011</v>
      </c>
      <c r="F3413" t="str">
        <f>"RANKIN, WILLIAM JOH"</f>
        <v>RANKIN, WILLIAM JOH</v>
      </c>
      <c r="G3413" t="str">
        <f>"AsarBartar"</f>
        <v>AsarBartar</v>
      </c>
    </row>
    <row r="3414" spans="1:7" x14ac:dyDescent="0.25">
      <c r="A3414" t="str">
        <f>"Mitigation of Landfill Gas Emissions"</f>
        <v>Mitigation of Landfill Gas Emissions</v>
      </c>
      <c r="B3414" t="str">
        <f>"9780415630771"</f>
        <v>9780415630771</v>
      </c>
      <c r="C3414">
        <v>47.2</v>
      </c>
      <c r="D3414" t="str">
        <f>"GBP"</f>
        <v>GBP</v>
      </c>
      <c r="E3414" t="str">
        <f>"2014"</f>
        <v>2014</v>
      </c>
      <c r="F3414" t="str">
        <f>"Malgorzata Pawlowsk"</f>
        <v>Malgorzata Pawlowsk</v>
      </c>
      <c r="G3414" t="str">
        <f>"AsarBartar"</f>
        <v>AsarBartar</v>
      </c>
    </row>
    <row r="3415" spans="1:7" x14ac:dyDescent="0.25">
      <c r="A3415" t="str">
        <f>"Mixed-Method Evaluation of Watershed Management : Practices from Kushk-Abad Basin. Iran"</f>
        <v>Mixed-Method Evaluation of Watershed Management : Practices from Kushk-Abad Basin. Iran</v>
      </c>
      <c r="B3415" t="str">
        <f>"9783319521466"</f>
        <v>9783319521466</v>
      </c>
      <c r="C3415">
        <v>49.49</v>
      </c>
      <c r="D3415" t="str">
        <f>"EUR"</f>
        <v>EUR</v>
      </c>
      <c r="E3415" t="str">
        <f>"2017"</f>
        <v>2017</v>
      </c>
      <c r="F3415" t="str">
        <f>"Mohammadi Golrang"</f>
        <v>Mohammadi Golrang</v>
      </c>
      <c r="G3415" t="str">
        <f>"negarestanabi"</f>
        <v>negarestanabi</v>
      </c>
    </row>
    <row r="3416" spans="1:7" x14ac:dyDescent="0.25">
      <c r="A3416" t="str">
        <f>"MODELING WATER QUALITY IN DRINKING WATER DISTRIBUTION SYSTEMS, HB"</f>
        <v>MODELING WATER QUALITY IN DRINKING WATER DISTRIBUTION SYSTEMS, HB</v>
      </c>
      <c r="B3416" t="str">
        <f>"9780898679724"</f>
        <v>9780898679724</v>
      </c>
      <c r="C3416">
        <v>104.3</v>
      </c>
      <c r="D3416" t="str">
        <f>"USD"</f>
        <v>USD</v>
      </c>
      <c r="E3416" t="str">
        <f>"1998"</f>
        <v>1998</v>
      </c>
      <c r="F3416" t="str">
        <f>"Clark"</f>
        <v>Clark</v>
      </c>
      <c r="G3416" t="str">
        <f>"supply"</f>
        <v>supply</v>
      </c>
    </row>
    <row r="3417" spans="1:7" x14ac:dyDescent="0.25">
      <c r="A3417" t="str">
        <f>"MODELLING AND MONITORING OF COASTAL MARINE PROCESSES, HB"</f>
        <v>MODELLING AND MONITORING OF COASTAL MARINE PROCESSES, HB</v>
      </c>
      <c r="B3417" t="str">
        <f>"9788185589626"</f>
        <v>9788185589626</v>
      </c>
      <c r="C3417">
        <v>15.4</v>
      </c>
      <c r="D3417" t="str">
        <f>"USD"</f>
        <v>USD</v>
      </c>
      <c r="E3417" t="str">
        <f>"2008"</f>
        <v>2008</v>
      </c>
      <c r="F3417" t="str">
        <f>"Murthy"</f>
        <v>Murthy</v>
      </c>
      <c r="G3417" t="str">
        <f>"supply"</f>
        <v>supply</v>
      </c>
    </row>
    <row r="3418" spans="1:7" x14ac:dyDescent="0.25">
      <c r="A3418" t="str">
        <f>"Modelling the Fate of Chemicals in the Environment and the Human Body"</f>
        <v>Modelling the Fate of Chemicals in the Environment and the Human Body</v>
      </c>
      <c r="B3418" t="str">
        <f>"9783319595009"</f>
        <v>9783319595009</v>
      </c>
      <c r="C3418">
        <v>251.99</v>
      </c>
      <c r="D3418" t="str">
        <f>"EUR"</f>
        <v>EUR</v>
      </c>
      <c r="E3418" t="str">
        <f>"2018"</f>
        <v>2018</v>
      </c>
      <c r="F3418" t="str">
        <f>"Ciffroy"</f>
        <v>Ciffroy</v>
      </c>
      <c r="G3418" t="str">
        <f>"negarestanabi"</f>
        <v>negarestanabi</v>
      </c>
    </row>
    <row r="3419" spans="1:7" x14ac:dyDescent="0.25">
      <c r="A3419" t="str">
        <f>"Modelling Trends in Solid and Hazardous Waste Management"</f>
        <v>Modelling Trends in Solid and Hazardous Waste Management</v>
      </c>
      <c r="B3419" t="str">
        <f>"9789811024092"</f>
        <v>9789811024092</v>
      </c>
      <c r="C3419">
        <v>89.99</v>
      </c>
      <c r="D3419" t="str">
        <f>"EUR"</f>
        <v>EUR</v>
      </c>
      <c r="E3419" t="str">
        <f>"2017"</f>
        <v>2017</v>
      </c>
      <c r="F3419" t="str">
        <f>"Sengupta"</f>
        <v>Sengupta</v>
      </c>
      <c r="G3419" t="str">
        <f>"negarestanabi"</f>
        <v>negarestanabi</v>
      </c>
    </row>
    <row r="3420" spans="1:7" x14ac:dyDescent="0.25">
      <c r="A3420" t="str">
        <f>"Models and Modeling: An Introduction for Earth and Environmental Scientists"</f>
        <v>Models and Modeling: An Introduction for Earth and Environmental Scientists</v>
      </c>
      <c r="B3420" t="str">
        <f>"9781119130369"</f>
        <v>9781119130369</v>
      </c>
      <c r="C3420">
        <v>59.5</v>
      </c>
      <c r="D3420" t="str">
        <f>"USD"</f>
        <v>USD</v>
      </c>
      <c r="E3420" t="str">
        <f>"2016"</f>
        <v>2016</v>
      </c>
      <c r="F3420" t="str">
        <f>"Fairley"</f>
        <v>Fairley</v>
      </c>
      <c r="G3420" t="str">
        <f>"avanddanesh"</f>
        <v>avanddanesh</v>
      </c>
    </row>
    <row r="3421" spans="1:7" x14ac:dyDescent="0.25">
      <c r="A3421" t="str">
        <f>"Modern Age Environmental Problems and their Remediation"</f>
        <v>Modern Age Environmental Problems and their Remediation</v>
      </c>
      <c r="B3421" t="str">
        <f>"9783319645001"</f>
        <v>9783319645001</v>
      </c>
      <c r="C3421">
        <v>107.99</v>
      </c>
      <c r="D3421" t="str">
        <f>"EUR"</f>
        <v>EUR</v>
      </c>
      <c r="E3421" t="str">
        <f>"2018"</f>
        <v>2018</v>
      </c>
      <c r="F3421" t="str">
        <f>"Oves"</f>
        <v>Oves</v>
      </c>
      <c r="G3421" t="str">
        <f>"negarestanabi"</f>
        <v>negarestanabi</v>
      </c>
    </row>
    <row r="3422" spans="1:7" x14ac:dyDescent="0.25">
      <c r="A3422" t="str">
        <f>"Modern Diffraction Methods"</f>
        <v>Modern Diffraction Methods</v>
      </c>
      <c r="B3422" t="str">
        <f>"9783527322794"</f>
        <v>9783527322794</v>
      </c>
      <c r="C3422">
        <v>121.2</v>
      </c>
      <c r="D3422" t="str">
        <f>"USD"</f>
        <v>USD</v>
      </c>
      <c r="E3422" t="str">
        <f>"2012"</f>
        <v>2012</v>
      </c>
      <c r="F3422" t="str">
        <f>"Mittemeijer"</f>
        <v>Mittemeijer</v>
      </c>
      <c r="G3422" t="str">
        <f>"avanddanesh"</f>
        <v>avanddanesh</v>
      </c>
    </row>
    <row r="3423" spans="1:7" x14ac:dyDescent="0.25">
      <c r="A3423" t="str">
        <f>"Modernisation Strategy for National Irrigation Systems in the Philippines: Balanac and Sta. Maria River Irrigation Systems (Unescoihe Phd Thesis Series)"</f>
        <v>Modernisation Strategy for National Irrigation Systems in the Philippines: Balanac and Sta. Maria River Irrigation Systems (Unescoihe Phd Thesis Series)</v>
      </c>
      <c r="B3423" t="str">
        <f>"9781138067745"</f>
        <v>9781138067745</v>
      </c>
      <c r="C3423">
        <v>62.99</v>
      </c>
      <c r="D3423" t="str">
        <f>"GBP"</f>
        <v>GBP</v>
      </c>
      <c r="E3423" t="str">
        <f>"2017"</f>
        <v>2017</v>
      </c>
      <c r="F3423" t="str">
        <f>"Delos Reyes"</f>
        <v>Delos Reyes</v>
      </c>
      <c r="G3423" t="str">
        <f>"sal"</f>
        <v>sal</v>
      </c>
    </row>
    <row r="3424" spans="1:7" x14ac:dyDescent="0.25">
      <c r="A3424" t="str">
        <f>"Modernization and Urban Water Governance: Organizational Change and Sustainability in Europe"</f>
        <v>Modernization and Urban Water Governance: Organizational Change and Sustainability in Europe</v>
      </c>
      <c r="B3424" t="str">
        <f>"9781137592545"</f>
        <v>9781137592545</v>
      </c>
      <c r="C3424">
        <v>134.99</v>
      </c>
      <c r="D3424" t="str">
        <f>"EUR"</f>
        <v>EUR</v>
      </c>
      <c r="E3424" t="str">
        <f>"2018"</f>
        <v>2018</v>
      </c>
      <c r="F3424" t="str">
        <f>"Bolognesi"</f>
        <v>Bolognesi</v>
      </c>
      <c r="G3424" t="str">
        <f>"negarestanabi"</f>
        <v>negarestanabi</v>
      </c>
    </row>
    <row r="3425" spans="1:7" x14ac:dyDescent="0.25">
      <c r="A3425" t="str">
        <f>"Molecular Mycorrhizal Symbiosis"</f>
        <v>Molecular Mycorrhizal Symbiosis</v>
      </c>
      <c r="B3425" t="str">
        <f>"9781118951415"</f>
        <v>9781118951415</v>
      </c>
      <c r="C3425">
        <v>170</v>
      </c>
      <c r="D3425" t="str">
        <f>"USD"</f>
        <v>USD</v>
      </c>
      <c r="E3425" t="str">
        <f>"2016"</f>
        <v>2016</v>
      </c>
      <c r="F3425" t="str">
        <f>"Martin"</f>
        <v>Martin</v>
      </c>
      <c r="G3425" t="str">
        <f>"avanddanesh"</f>
        <v>avanddanesh</v>
      </c>
    </row>
    <row r="3426" spans="1:7" x14ac:dyDescent="0.25">
      <c r="A3426" t="str">
        <f>"Molecular Tools for the Detection and Quantification of Toxigenic Cyanobacteria"</f>
        <v>Molecular Tools for the Detection and Quantification of Toxigenic Cyanobacteria</v>
      </c>
      <c r="B3426" t="str">
        <f>"9781119332107"</f>
        <v>9781119332107</v>
      </c>
      <c r="C3426">
        <v>130.5</v>
      </c>
      <c r="D3426" t="str">
        <f>"USD"</f>
        <v>USD</v>
      </c>
      <c r="E3426" t="str">
        <f>"2017"</f>
        <v>2017</v>
      </c>
      <c r="F3426" t="str">
        <f>"Kurmayer"</f>
        <v>Kurmayer</v>
      </c>
      <c r="G3426" t="str">
        <f>"avanddanesh"</f>
        <v>avanddanesh</v>
      </c>
    </row>
    <row r="3427" spans="1:7" x14ac:dyDescent="0.25">
      <c r="A3427" t="str">
        <f>"Mountain Ice and Water, Investigations of the Hydrologic Cycle in Alpine Environments, Volume21"</f>
        <v>Mountain Ice and Water, Investigations of the Hydrologic Cycle in Alpine Environments, Volume21</v>
      </c>
      <c r="B3427" t="str">
        <f>"9780444637871"</f>
        <v>9780444637871</v>
      </c>
      <c r="C3427">
        <v>157.5</v>
      </c>
      <c r="D3427" t="str">
        <f>"USD"</f>
        <v>USD</v>
      </c>
      <c r="E3427" t="str">
        <f>"2016"</f>
        <v>2016</v>
      </c>
      <c r="F3427" t="str">
        <f>"Shroder and Greenwoo"</f>
        <v>Shroder and Greenwoo</v>
      </c>
      <c r="G3427" t="str">
        <f>"arang"</f>
        <v>arang</v>
      </c>
    </row>
    <row r="3428" spans="1:7" x14ac:dyDescent="0.25">
      <c r="A3428" t="str">
        <f>"Moving Towards Low Carbon Mobility"</f>
        <v>Moving Towards Low Carbon Mobility</v>
      </c>
      <c r="B3428" t="str">
        <f>"9781782540144"</f>
        <v>9781782540144</v>
      </c>
      <c r="C3428">
        <v>18</v>
      </c>
      <c r="D3428" t="str">
        <f>"GBP"</f>
        <v>GBP</v>
      </c>
      <c r="E3428" t="str">
        <f>"2013"</f>
        <v>2013</v>
      </c>
      <c r="F3428" t="str">
        <f>"David Banister(Edit"</f>
        <v>David Banister(Edit</v>
      </c>
      <c r="G3428" t="str">
        <f>"AsarBartar"</f>
        <v>AsarBartar</v>
      </c>
    </row>
    <row r="3429" spans="1:7" x14ac:dyDescent="0.25">
      <c r="A3429" t="str">
        <f>"MOVING TOWARDS LOW CARBON MOBILITY"</f>
        <v>MOVING TOWARDS LOW CARBON MOBILITY</v>
      </c>
      <c r="B3429" t="str">
        <f>"9781781007228"</f>
        <v>9781781007228</v>
      </c>
      <c r="C3429">
        <v>54.6</v>
      </c>
      <c r="D3429" t="str">
        <f>"GBP"</f>
        <v>GBP</v>
      </c>
      <c r="E3429" t="str">
        <f>"2013"</f>
        <v>2013</v>
      </c>
      <c r="F3429" t="str">
        <f>"GIVONI, M.   BANIST"</f>
        <v>GIVONI, M.   BANIST</v>
      </c>
      <c r="G3429" t="str">
        <f>"AsarBartar"</f>
        <v>AsarBartar</v>
      </c>
    </row>
    <row r="3430" spans="1:7" x14ac:dyDescent="0.25">
      <c r="A3430" t="str">
        <f>"MULTINATIONAL ENTERPRISES AND THE CHALLENGE OF SUSTAINABLE DEVELOPMENT"</f>
        <v>MULTINATIONAL ENTERPRISES AND THE CHALLENGE OF SUSTAINABLE DEVELOPMENT</v>
      </c>
      <c r="B3430" t="str">
        <f>"9781848444133"</f>
        <v>9781848444133</v>
      </c>
      <c r="C3430">
        <v>23.98</v>
      </c>
      <c r="D3430" t="str">
        <f>"GBP"</f>
        <v>GBP</v>
      </c>
      <c r="E3430" t="str">
        <f>"2009"</f>
        <v>2009</v>
      </c>
      <c r="F3430" t="str">
        <f>"MCINTYRE, J.R.   IV"</f>
        <v>MCINTYRE, J.R.   IV</v>
      </c>
      <c r="G3430" t="str">
        <f>"AsarBartar"</f>
        <v>AsarBartar</v>
      </c>
    </row>
    <row r="3431" spans="1:7" x14ac:dyDescent="0.25">
      <c r="A3431" t="str">
        <f>"Multivariate Time Series Analysis in Climate and Environmental Research"</f>
        <v>Multivariate Time Series Analysis in Climate and Environmental Research</v>
      </c>
      <c r="B3431" t="str">
        <f>"9783319673394"</f>
        <v>9783319673394</v>
      </c>
      <c r="C3431">
        <v>125.99</v>
      </c>
      <c r="D3431" t="str">
        <f>"EUR"</f>
        <v>EUR</v>
      </c>
      <c r="E3431" t="str">
        <f>"2018"</f>
        <v>2018</v>
      </c>
      <c r="F3431" t="str">
        <f>"Zhang"</f>
        <v>Zhang</v>
      </c>
      <c r="G3431" t="str">
        <f>"negarestanabi"</f>
        <v>negarestanabi</v>
      </c>
    </row>
    <row r="3432" spans="1:7" x14ac:dyDescent="0.25">
      <c r="A3432" t="str">
        <f>"Mycoremediation: Fungal Bioremediation"</f>
        <v>Mycoremediation: Fungal Bioremediation</v>
      </c>
      <c r="B3432" t="str">
        <f>"9780471755012"</f>
        <v>9780471755012</v>
      </c>
      <c r="C3432">
        <v>93</v>
      </c>
      <c r="D3432" t="str">
        <f t="shared" ref="D3432:D3437" si="196">"USD"</f>
        <v>USD</v>
      </c>
      <c r="E3432" t="str">
        <f>"2006"</f>
        <v>2006</v>
      </c>
      <c r="F3432" t="str">
        <f>"Singh"</f>
        <v>Singh</v>
      </c>
      <c r="G3432" t="str">
        <f>"safirketab"</f>
        <v>safirketab</v>
      </c>
    </row>
    <row r="3433" spans="1:7" x14ac:dyDescent="0.25">
      <c r="A3433" t="str">
        <f>"Nanomaterials for Wastewater Remediation"</f>
        <v>Nanomaterials for Wastewater Remediation</v>
      </c>
      <c r="B3433" t="str">
        <f>"9780128046098"</f>
        <v>9780128046098</v>
      </c>
      <c r="C3433">
        <v>153</v>
      </c>
      <c r="D3433" t="str">
        <f t="shared" si="196"/>
        <v>USD</v>
      </c>
      <c r="E3433" t="str">
        <f>"2016"</f>
        <v>2016</v>
      </c>
      <c r="F3433" t="str">
        <f>"Gautam and Chattopad"</f>
        <v>Gautam and Chattopad</v>
      </c>
      <c r="G3433" t="str">
        <f>"arang"</f>
        <v>arang</v>
      </c>
    </row>
    <row r="3434" spans="1:7" x14ac:dyDescent="0.25">
      <c r="A3434" t="str">
        <f>"Nanotechnology Applications for Clean Water, Solutions for Improving Water Quality, 2nd Edition"</f>
        <v>Nanotechnology Applications for Clean Water, Solutions for Improving Water Quality, 2nd Edition</v>
      </c>
      <c r="B3434" t="str">
        <f>"9780128101384"</f>
        <v>9780128101384</v>
      </c>
      <c r="C3434">
        <v>175.5</v>
      </c>
      <c r="D3434" t="str">
        <f t="shared" si="196"/>
        <v>USD</v>
      </c>
      <c r="E3434" t="str">
        <f>"2018"</f>
        <v>2018</v>
      </c>
      <c r="F3434" t="str">
        <f>"Street et al"</f>
        <v>Street et al</v>
      </c>
      <c r="G3434" t="str">
        <f>"arang"</f>
        <v>arang</v>
      </c>
    </row>
    <row r="3435" spans="1:7" x14ac:dyDescent="0.25">
      <c r="A3435" t="str">
        <f>"Nanotechnology Applications for Clean Water, Solutions for Improving Water Quality, 2nd Edition"</f>
        <v>Nanotechnology Applications for Clean Water, Solutions for Improving Water Quality, 2nd Edition</v>
      </c>
      <c r="B3435" t="str">
        <f>"9781455731169"</f>
        <v>9781455731169</v>
      </c>
      <c r="C3435">
        <v>175.5</v>
      </c>
      <c r="D3435" t="str">
        <f t="shared" si="196"/>
        <v>USD</v>
      </c>
      <c r="E3435" t="str">
        <f>"2014"</f>
        <v>2014</v>
      </c>
      <c r="F3435" t="str">
        <f>"Street et al"</f>
        <v>Street et al</v>
      </c>
      <c r="G3435" t="str">
        <f>"arang"</f>
        <v>arang</v>
      </c>
    </row>
    <row r="3436" spans="1:7" x14ac:dyDescent="0.25">
      <c r="A3436" t="str">
        <f>"Nanotechnology Applications for Improvements in Energy Efficiency and Environmental Management"</f>
        <v>Nanotechnology Applications for Improvements in Energy Efficiency and Environmental Management</v>
      </c>
      <c r="B3436" t="str">
        <f>"9781466663046"</f>
        <v>9781466663046</v>
      </c>
      <c r="C3436">
        <v>139.80000000000001</v>
      </c>
      <c r="D3436" t="str">
        <f t="shared" si="196"/>
        <v>USD</v>
      </c>
      <c r="E3436" t="str">
        <f>"2015"</f>
        <v>2015</v>
      </c>
      <c r="F3436" t="str">
        <f>"M. A. Shah"</f>
        <v>M. A. Shah</v>
      </c>
      <c r="G3436" t="str">
        <f>"arzinbooks"</f>
        <v>arzinbooks</v>
      </c>
    </row>
    <row r="3437" spans="1:7" x14ac:dyDescent="0.25">
      <c r="A3437" t="str">
        <f>"National Parks and Protected Areas: Appoaches for Balancing Social, Economic, and Ecological Values"</f>
        <v>National Parks and Protected Areas: Appoaches for Balancing Social, Economic, and Ecological Values</v>
      </c>
      <c r="B3437" t="str">
        <f>"9780813812489"</f>
        <v>9780813812489</v>
      </c>
      <c r="C3437">
        <v>95.99</v>
      </c>
      <c r="D3437" t="str">
        <f t="shared" si="196"/>
        <v>USD</v>
      </c>
      <c r="E3437" t="str">
        <f>"2005"</f>
        <v>2005</v>
      </c>
      <c r="F3437" t="str">
        <f>"Prato"</f>
        <v>Prato</v>
      </c>
      <c r="G3437" t="str">
        <f>"safirketab"</f>
        <v>safirketab</v>
      </c>
    </row>
    <row r="3438" spans="1:7" x14ac:dyDescent="0.25">
      <c r="A3438" t="str">
        <f>"NATURAL ARSENIC IN GROUNDWATERS OF LATIN AMERICA"</f>
        <v>NATURAL ARSENIC IN GROUNDWATERS OF LATIN AMERICA</v>
      </c>
      <c r="B3438" t="str">
        <f>"9780415407717"</f>
        <v>9780415407717</v>
      </c>
      <c r="C3438">
        <v>36.299999999999997</v>
      </c>
      <c r="D3438" t="str">
        <f>"GBP"</f>
        <v>GBP</v>
      </c>
      <c r="E3438" t="str">
        <f>"2009"</f>
        <v>2009</v>
      </c>
      <c r="F3438" t="str">
        <f>"JOCHEN BUNDSCHUH, M"</f>
        <v>JOCHEN BUNDSCHUH, M</v>
      </c>
      <c r="G3438" t="str">
        <f>"AsarBartar"</f>
        <v>AsarBartar</v>
      </c>
    </row>
    <row r="3439" spans="1:7" x14ac:dyDescent="0.25">
      <c r="A3439" t="str">
        <f>"Natural Disasters, HB,          'NEW'"</f>
        <v>Natural Disasters, HB,          'NEW'</v>
      </c>
      <c r="B3439" t="str">
        <f>"9789535101888"</f>
        <v>9789535101888</v>
      </c>
      <c r="C3439">
        <v>63</v>
      </c>
      <c r="D3439" t="str">
        <f>"USD"</f>
        <v>USD</v>
      </c>
      <c r="E3439" t="str">
        <f>"2014"</f>
        <v>2014</v>
      </c>
      <c r="F3439" t="str">
        <f>"Cheval S."</f>
        <v>Cheval S.</v>
      </c>
      <c r="G3439" t="str">
        <f>"supply"</f>
        <v>supply</v>
      </c>
    </row>
    <row r="3440" spans="1:7" x14ac:dyDescent="0.25">
      <c r="A3440" t="str">
        <f>"Natural Enemies:The Population Biology of Predators, Parasites and Diseases"</f>
        <v>Natural Enemies:The Population Biology of Predators, Parasites and Diseases</v>
      </c>
      <c r="B3440" t="str">
        <f>"9780632026982"</f>
        <v>9780632026982</v>
      </c>
      <c r="C3440">
        <v>75.599999999999994</v>
      </c>
      <c r="D3440" t="str">
        <f>"USD"</f>
        <v>USD</v>
      </c>
      <c r="E3440" t="str">
        <f>"2008"</f>
        <v>2008</v>
      </c>
      <c r="F3440" t="str">
        <f>"Crawley"</f>
        <v>Crawley</v>
      </c>
      <c r="G3440" t="str">
        <f>"safirketab"</f>
        <v>safirketab</v>
      </c>
    </row>
    <row r="3441" spans="1:7" x14ac:dyDescent="0.25">
      <c r="A3441" t="str">
        <f>"Natural Hazard Uncertainty Assessment: Modeling and Decision Support"</f>
        <v>Natural Hazard Uncertainty Assessment: Modeling and Decision Support</v>
      </c>
      <c r="B3441" t="str">
        <f>"9781119027867"</f>
        <v>9781119027867</v>
      </c>
      <c r="C3441">
        <v>135</v>
      </c>
      <c r="D3441" t="str">
        <f>"USD"</f>
        <v>USD</v>
      </c>
      <c r="E3441" t="str">
        <f>"2017"</f>
        <v>2017</v>
      </c>
      <c r="F3441" t="str">
        <f>"Riley"</f>
        <v>Riley</v>
      </c>
      <c r="G3441" t="str">
        <f>"avanddanesh"</f>
        <v>avanddanesh</v>
      </c>
    </row>
    <row r="3442" spans="1:7" x14ac:dyDescent="0.25">
      <c r="A3442" t="str">
        <f>"NATURAL RESOURCE CONSERVATION &amp; ENVIRONMENT MANAGEMENT, HB"</f>
        <v>NATURAL RESOURCE CONSERVATION &amp; ENVIRONMENT MANAGEMENT, HB</v>
      </c>
      <c r="B3442" t="str">
        <f>"9788131307090"</f>
        <v>9788131307090</v>
      </c>
      <c r="C3442">
        <v>36.96</v>
      </c>
      <c r="D3442" t="str">
        <f>"USD"</f>
        <v>USD</v>
      </c>
      <c r="E3442" t="str">
        <f>"2010"</f>
        <v>2010</v>
      </c>
      <c r="F3442" t="str">
        <f>"Behera"</f>
        <v>Behera</v>
      </c>
      <c r="G3442" t="str">
        <f>"supply"</f>
        <v>supply</v>
      </c>
    </row>
    <row r="3443" spans="1:7" x14ac:dyDescent="0.25">
      <c r="A3443" t="str">
        <f>"Natural Resources and Control Processes"</f>
        <v>Natural Resources and Control Processes</v>
      </c>
      <c r="B3443" t="str">
        <f>"9783319267982"</f>
        <v>9783319267982</v>
      </c>
      <c r="C3443">
        <v>112.49</v>
      </c>
      <c r="D3443" t="str">
        <f>"EUR"</f>
        <v>EUR</v>
      </c>
      <c r="E3443" t="str">
        <f>"2016"</f>
        <v>2016</v>
      </c>
      <c r="F3443" t="str">
        <f>"Wang"</f>
        <v>Wang</v>
      </c>
      <c r="G3443" t="str">
        <f>"negarestanabi"</f>
        <v>negarestanabi</v>
      </c>
    </row>
    <row r="3444" spans="1:7" x14ac:dyDescent="0.25">
      <c r="A3444" t="str">
        <f>"Natural Resources Management: Concepts, Methodologies, Tools, and Applications ; 3 Volumes Set"</f>
        <v>Natural Resources Management: Concepts, Methodologies, Tools, and Applications ; 3 Volumes Set</v>
      </c>
      <c r="B3444" t="str">
        <f>"9781522508038"</f>
        <v>9781522508038</v>
      </c>
      <c r="C3444">
        <v>1480</v>
      </c>
      <c r="D3444" t="str">
        <f>"USD"</f>
        <v>USD</v>
      </c>
      <c r="E3444" t="str">
        <f>"2017"</f>
        <v>2017</v>
      </c>
      <c r="F3444" t="str">
        <f>"INFORMATION RESOURCE"</f>
        <v>INFORMATION RESOURCE</v>
      </c>
      <c r="G3444" t="str">
        <f>"arzinbooks"</f>
        <v>arzinbooks</v>
      </c>
    </row>
    <row r="3445" spans="1:7" x14ac:dyDescent="0.25">
      <c r="A3445" t="str">
        <f>"Nature's Saviours: Celebrity Conservationists in the Television Age"</f>
        <v>Nature's Saviours: Celebrity Conservationists in the Television Age</v>
      </c>
      <c r="B3445" t="str">
        <f>"9780415519144"</f>
        <v>9780415519144</v>
      </c>
      <c r="C3445">
        <v>18</v>
      </c>
      <c r="D3445" t="str">
        <f>"GBP"</f>
        <v>GBP</v>
      </c>
      <c r="E3445" t="str">
        <f>"2013"</f>
        <v>2013</v>
      </c>
      <c r="F3445" t="str">
        <f>"Graham Huggan"</f>
        <v>Graham Huggan</v>
      </c>
      <c r="G3445" t="str">
        <f>"AsarBartar"</f>
        <v>AsarBartar</v>
      </c>
    </row>
    <row r="3446" spans="1:7" x14ac:dyDescent="0.25">
      <c r="A3446" t="str">
        <f>"NATURE'S SPECTACLE : THE WORLD'S FIRST NATIONAL PARKS A"</f>
        <v>NATURE'S SPECTACLE : THE WORLD'S FIRST NATIONAL PARKS A</v>
      </c>
      <c r="B3446" t="str">
        <f>"9781849711296"</f>
        <v>9781849711296</v>
      </c>
      <c r="C3446">
        <v>19.5</v>
      </c>
      <c r="D3446" t="str">
        <f>"GBP"</f>
        <v>GBP</v>
      </c>
      <c r="E3446" t="str">
        <f>"2010"</f>
        <v>2010</v>
      </c>
      <c r="F3446" t="str">
        <f>"JOHN SHEAIL"</f>
        <v>JOHN SHEAIL</v>
      </c>
      <c r="G3446" t="str">
        <f>"AsarBartar"</f>
        <v>AsarBartar</v>
      </c>
    </row>
    <row r="3447" spans="1:7" x14ac:dyDescent="0.25">
      <c r="A3447" t="str">
        <f>"Negotiating International Water Rights : Natural Resource Conflict in Turkey, Syria and Iraq"</f>
        <v>Negotiating International Water Rights : Natural Resource Conflict in Turkey, Syria and Iraq</v>
      </c>
      <c r="B3447" t="str">
        <f>"9781784535520"</f>
        <v>9781784535520</v>
      </c>
      <c r="C3447">
        <v>50.1</v>
      </c>
      <c r="D3447" t="str">
        <f>"GBP"</f>
        <v>GBP</v>
      </c>
      <c r="E3447" t="str">
        <f>"2016"</f>
        <v>2016</v>
      </c>
      <c r="F3447" t="str">
        <f>"Muserref Yetim"</f>
        <v>Muserref Yetim</v>
      </c>
      <c r="G3447" t="str">
        <f>"arzinbooks"</f>
        <v>arzinbooks</v>
      </c>
    </row>
    <row r="3448" spans="1:7" x14ac:dyDescent="0.25">
      <c r="A3448" t="str">
        <f>"NEGOTIATING WATER GOVERNANCE  :  Why the Politics of Scale Matter, HB,       'NEW'"</f>
        <v>NEGOTIATING WATER GOVERNANCE  :  Why the Politics of Scale Matter, HB,       'NEW'</v>
      </c>
      <c r="B3448" t="str">
        <f>"9781409467908"</f>
        <v>9781409467908</v>
      </c>
      <c r="C3448">
        <v>73.2</v>
      </c>
      <c r="D3448" t="str">
        <f>"USD"</f>
        <v>USD</v>
      </c>
      <c r="E3448" t="str">
        <f>"2015"</f>
        <v>2015</v>
      </c>
      <c r="F3448" t="str">
        <f>"Emma S. Norman"</f>
        <v>Emma S. Norman</v>
      </c>
      <c r="G3448" t="str">
        <f>"supply"</f>
        <v>supply</v>
      </c>
    </row>
    <row r="3449" spans="1:7" x14ac:dyDescent="0.25">
      <c r="A3449" t="str">
        <f>"Nested algorithms for optimal reservoir operation and their embedding in a decision support platform"</f>
        <v>Nested algorithms for optimal reservoir operation and their embedding in a decision support platform</v>
      </c>
      <c r="B3449" t="str">
        <f>"9781138029828"</f>
        <v>9781138029828</v>
      </c>
      <c r="C3449">
        <v>35.700000000000003</v>
      </c>
      <c r="D3449" t="str">
        <f>"GBP"</f>
        <v>GBP</v>
      </c>
      <c r="E3449" t="str">
        <f>"2016"</f>
        <v>2016</v>
      </c>
      <c r="F3449" t="str">
        <f>"Blagoj Delipetrev"</f>
        <v>Blagoj Delipetrev</v>
      </c>
      <c r="G3449" t="str">
        <f>"AsarBartar"</f>
        <v>AsarBartar</v>
      </c>
    </row>
    <row r="3450" spans="1:7" x14ac:dyDescent="0.25">
      <c r="A3450" t="str">
        <f>"Networks of Invasion,56"</f>
        <v>Networks of Invasion,56</v>
      </c>
      <c r="B3450" t="str">
        <f>"9780128043288"</f>
        <v>9780128043288</v>
      </c>
      <c r="C3450">
        <v>197.1</v>
      </c>
      <c r="D3450" t="str">
        <f t="shared" ref="D3450:D3458" si="197">"USD"</f>
        <v>USD</v>
      </c>
      <c r="E3450" t="str">
        <f>"2017"</f>
        <v>2017</v>
      </c>
      <c r="F3450" t="str">
        <f>"Bohan, David"</f>
        <v>Bohan, David</v>
      </c>
      <c r="G3450" t="str">
        <f>"dehkadehketab"</f>
        <v>dehkadehketab</v>
      </c>
    </row>
    <row r="3451" spans="1:7" x14ac:dyDescent="0.25">
      <c r="A3451" t="str">
        <f>"Neuroethology of Predation and Escape"</f>
        <v>Neuroethology of Predation and Escape</v>
      </c>
      <c r="B3451" t="str">
        <f>"9780470972236"</f>
        <v>9780470972236</v>
      </c>
      <c r="C3451">
        <v>51</v>
      </c>
      <c r="D3451" t="str">
        <f t="shared" si="197"/>
        <v>USD</v>
      </c>
      <c r="E3451" t="str">
        <f>"2016"</f>
        <v>2016</v>
      </c>
      <c r="F3451" t="str">
        <f>"Sillar"</f>
        <v>Sillar</v>
      </c>
      <c r="G3451" t="str">
        <f>"avanddanesh"</f>
        <v>avanddanesh</v>
      </c>
    </row>
    <row r="3452" spans="1:7" x14ac:dyDescent="0.25">
      <c r="A3452" t="str">
        <f>"New Conservation Politics:Power, Organization Building and Effectiveness"</f>
        <v>New Conservation Politics:Power, Organization Building and Effectiveness</v>
      </c>
      <c r="B3452" t="str">
        <f>"9781405190145"</f>
        <v>9781405190145</v>
      </c>
      <c r="C3452">
        <v>31.5</v>
      </c>
      <c r="D3452" t="str">
        <f t="shared" si="197"/>
        <v>USD</v>
      </c>
      <c r="E3452" t="str">
        <f>"2009"</f>
        <v>2009</v>
      </c>
      <c r="F3452" t="str">
        <f>"Johns"</f>
        <v>Johns</v>
      </c>
      <c r="G3452" t="str">
        <f>"safirketab"</f>
        <v>safirketab</v>
      </c>
    </row>
    <row r="3453" spans="1:7" x14ac:dyDescent="0.25">
      <c r="A3453" t="str">
        <f>"New Perspectives in Climate Change"</f>
        <v>New Perspectives in Climate Change</v>
      </c>
      <c r="B3453" t="str">
        <f>"9781785608797"</f>
        <v>9781785608797</v>
      </c>
      <c r="C3453">
        <v>42</v>
      </c>
      <c r="D3453" t="str">
        <f t="shared" si="197"/>
        <v>USD</v>
      </c>
      <c r="E3453" t="str">
        <f>"2016"</f>
        <v>2016</v>
      </c>
      <c r="F3453" t="str">
        <f>"EMERALD GROUP PUBLIS"</f>
        <v>EMERALD GROUP PUBLIS</v>
      </c>
      <c r="G3453" t="str">
        <f>"arzinbooks"</f>
        <v>arzinbooks</v>
      </c>
    </row>
    <row r="3454" spans="1:7" x14ac:dyDescent="0.25">
      <c r="A3454" t="str">
        <f>"New Perspectives in Global Environmental Disasters"</f>
        <v>New Perspectives in Global Environmental Disasters</v>
      </c>
      <c r="B3454" t="str">
        <f>"9781785608094"</f>
        <v>9781785608094</v>
      </c>
      <c r="C3454">
        <v>42</v>
      </c>
      <c r="D3454" t="str">
        <f t="shared" si="197"/>
        <v>USD</v>
      </c>
      <c r="E3454" t="str">
        <f>"2016"</f>
        <v>2016</v>
      </c>
      <c r="F3454" t="str">
        <f>"EMERALD GROUP PUBLIS"</f>
        <v>EMERALD GROUP PUBLIS</v>
      </c>
      <c r="G3454" t="str">
        <f>"arzinbooks"</f>
        <v>arzinbooks</v>
      </c>
    </row>
    <row r="3455" spans="1:7" x14ac:dyDescent="0.25">
      <c r="A3455" t="str">
        <f>"New Polymer Nanocomposites for Environmental Remediation"</f>
        <v>New Polymer Nanocomposites for Environmental Remediation</v>
      </c>
      <c r="B3455" t="str">
        <f>"9780128110331"</f>
        <v>9780128110331</v>
      </c>
      <c r="C3455">
        <v>180</v>
      </c>
      <c r="D3455" t="str">
        <f t="shared" si="197"/>
        <v>USD</v>
      </c>
      <c r="E3455" t="str">
        <f>"2018"</f>
        <v>2018</v>
      </c>
      <c r="F3455" t="str">
        <f>"Chaudhery Mustansar "</f>
        <v xml:space="preserve">Chaudhery Mustansar </v>
      </c>
      <c r="G3455" t="str">
        <f>"dehkadehketab"</f>
        <v>dehkadehketab</v>
      </c>
    </row>
    <row r="3456" spans="1:7" x14ac:dyDescent="0.25">
      <c r="A3456" t="str">
        <f>"New Zealand Landscape, Behind the Scene"</f>
        <v>New Zealand Landscape, Behind the Scene</v>
      </c>
      <c r="B3456" t="str">
        <f>"9780128124796"</f>
        <v>9780128124796</v>
      </c>
      <c r="C3456">
        <v>135</v>
      </c>
      <c r="D3456" t="str">
        <f t="shared" si="197"/>
        <v>USD</v>
      </c>
      <c r="E3456" t="str">
        <f>"2017"</f>
        <v>2017</v>
      </c>
      <c r="F3456" t="str">
        <f>"Williams"</f>
        <v>Williams</v>
      </c>
      <c r="G3456" t="str">
        <f>"dehkadehketab"</f>
        <v>dehkadehketab</v>
      </c>
    </row>
    <row r="3457" spans="1:7" x14ac:dyDescent="0.25">
      <c r="A3457" t="str">
        <f>"NMR Spectroscopy: A Versatile Tool for Environmental Research"</f>
        <v>NMR Spectroscopy: A Versatile Tool for Environmental Research</v>
      </c>
      <c r="B3457" t="str">
        <f>"9781118616475"</f>
        <v>9781118616475</v>
      </c>
      <c r="C3457">
        <v>97.5</v>
      </c>
      <c r="D3457" t="str">
        <f t="shared" si="197"/>
        <v>USD</v>
      </c>
      <c r="E3457" t="str">
        <f>"2014"</f>
        <v>2014</v>
      </c>
      <c r="F3457" t="str">
        <f>"Simpson"</f>
        <v>Simpson</v>
      </c>
      <c r="G3457" t="str">
        <f>"avanddanesh"</f>
        <v>avanddanesh</v>
      </c>
    </row>
    <row r="3458" spans="1:7" x14ac:dyDescent="0.25">
      <c r="A3458" t="str">
        <f>"Novel Ecosystems: Intervening in the New Ecological World Order"</f>
        <v>Novel Ecosystems: Intervening in the New Ecological World Order</v>
      </c>
      <c r="B3458" t="str">
        <f>"9781118354223"</f>
        <v>9781118354223</v>
      </c>
      <c r="C3458">
        <v>45.5</v>
      </c>
      <c r="D3458" t="str">
        <f t="shared" si="197"/>
        <v>USD</v>
      </c>
      <c r="E3458" t="str">
        <f>"2013"</f>
        <v>2013</v>
      </c>
      <c r="F3458" t="str">
        <f>"Hobbs"</f>
        <v>Hobbs</v>
      </c>
      <c r="G3458" t="str">
        <f>"avanddanesh"</f>
        <v>avanddanesh</v>
      </c>
    </row>
    <row r="3459" spans="1:7" x14ac:dyDescent="0.25">
      <c r="A3459" t="str">
        <f>"Novel Water Treatment and Separation Methods: Simulation of Chemical Processes"</f>
        <v>Novel Water Treatment and Separation Methods: Simulation of Chemical Processes</v>
      </c>
      <c r="B3459" t="str">
        <f>"9781771885782"</f>
        <v>9781771885782</v>
      </c>
      <c r="C3459">
        <v>89.1</v>
      </c>
      <c r="D3459" t="str">
        <f>"GBP"</f>
        <v>GBP</v>
      </c>
      <c r="E3459" t="str">
        <f>"2017"</f>
        <v>2017</v>
      </c>
      <c r="F3459" t="str">
        <f>"Bhanvase"</f>
        <v>Bhanvase</v>
      </c>
      <c r="G3459" t="str">
        <f>"sal"</f>
        <v>sal</v>
      </c>
    </row>
    <row r="3460" spans="1:7" x14ac:dyDescent="0.25">
      <c r="A3460" t="str">
        <f>"Occupancy Estimation and Modeling, Inferring Patterns and Dynamics of Species Occurrence, 2nd Edition"</f>
        <v>Occupancy Estimation and Modeling, Inferring Patterns and Dynamics of Species Occurrence, 2nd Edition</v>
      </c>
      <c r="B3460" t="str">
        <f>"9780124058873"</f>
        <v>9780124058873</v>
      </c>
      <c r="C3460">
        <v>89.95</v>
      </c>
      <c r="D3460" t="str">
        <f t="shared" ref="D3460:D3467" si="198">"USD"</f>
        <v>USD</v>
      </c>
      <c r="E3460" t="str">
        <f>"2017"</f>
        <v>2017</v>
      </c>
      <c r="F3460" t="str">
        <f>"MacKenzie et al"</f>
        <v>MacKenzie et al</v>
      </c>
      <c r="G3460" t="str">
        <f>"dehkadehketab"</f>
        <v>dehkadehketab</v>
      </c>
    </row>
    <row r="3461" spans="1:7" x14ac:dyDescent="0.25">
      <c r="A3461" t="str">
        <f>"Oceanographic and Marine Cross-Domain Data Management for Sustainable Development"</f>
        <v>Oceanographic and Marine Cross-Domain Data Management for Sustainable Development</v>
      </c>
      <c r="B3461" t="str">
        <f>"9781522507000"</f>
        <v>9781522507000</v>
      </c>
      <c r="C3461">
        <v>153.80000000000001</v>
      </c>
      <c r="D3461" t="str">
        <f t="shared" si="198"/>
        <v>USD</v>
      </c>
      <c r="E3461" t="str">
        <f>"2017"</f>
        <v>2017</v>
      </c>
      <c r="F3461" t="str">
        <f>"Paolo Diviacco"</f>
        <v>Paolo Diviacco</v>
      </c>
      <c r="G3461" t="str">
        <f>"arzinbooks"</f>
        <v>arzinbooks</v>
      </c>
    </row>
    <row r="3462" spans="1:7" x14ac:dyDescent="0.25">
      <c r="A3462" t="str">
        <f>"OCEANOGRAPHY, HB"</f>
        <v>OCEANOGRAPHY, HB</v>
      </c>
      <c r="B3462" t="str">
        <f>"9788131102114"</f>
        <v>9788131102114</v>
      </c>
      <c r="C3462">
        <v>42.28</v>
      </c>
      <c r="D3462" t="str">
        <f t="shared" si="198"/>
        <v>USD</v>
      </c>
      <c r="E3462" t="str">
        <f>"2010"</f>
        <v>2010</v>
      </c>
      <c r="F3462" t="str">
        <f>"Mehtani"</f>
        <v>Mehtani</v>
      </c>
      <c r="G3462" t="str">
        <f>"supply"</f>
        <v>supply</v>
      </c>
    </row>
    <row r="3463" spans="1:7" x14ac:dyDescent="0.25">
      <c r="A3463" t="str">
        <f>"OCEANOGRAPHY, HB,          'NEW'"</f>
        <v>OCEANOGRAPHY, HB,          'NEW'</v>
      </c>
      <c r="B3463" t="str">
        <f>"9789535103011"</f>
        <v>9789535103011</v>
      </c>
      <c r="C3463">
        <v>75</v>
      </c>
      <c r="D3463" t="str">
        <f t="shared" si="198"/>
        <v>USD</v>
      </c>
      <c r="E3463" t="str">
        <f>"2014"</f>
        <v>2014</v>
      </c>
      <c r="F3463" t="str">
        <f>"Marcelli M."</f>
        <v>Marcelli M.</v>
      </c>
      <c r="G3463" t="str">
        <f>"supply"</f>
        <v>supply</v>
      </c>
    </row>
    <row r="3464" spans="1:7" x14ac:dyDescent="0.25">
      <c r="A3464" t="str">
        <f>"Oceans and Human Health: Implications for Society and Well-Being"</f>
        <v>Oceans and Human Health: Implications for Society and Well-Being</v>
      </c>
      <c r="B3464" t="str">
        <f>"9781119941316"</f>
        <v>9781119941316</v>
      </c>
      <c r="C3464">
        <v>52.5</v>
      </c>
      <c r="D3464" t="str">
        <f t="shared" si="198"/>
        <v>USD</v>
      </c>
      <c r="E3464" t="str">
        <f>"2014"</f>
        <v>2014</v>
      </c>
      <c r="F3464" t="str">
        <f>"Bowen"</f>
        <v>Bowen</v>
      </c>
      <c r="G3464" t="str">
        <f>"avanddanesh"</f>
        <v>avanddanesh</v>
      </c>
    </row>
    <row r="3465" spans="1:7" x14ac:dyDescent="0.25">
      <c r="A3465" t="str">
        <f>"OCEANS OF WORLD HISTORY"</f>
        <v>OCEANS OF WORLD HISTORY</v>
      </c>
      <c r="B3465" t="str">
        <f>"9780073019031"</f>
        <v>9780073019031</v>
      </c>
      <c r="C3465">
        <v>14.81</v>
      </c>
      <c r="D3465" t="str">
        <f t="shared" si="198"/>
        <v>USD</v>
      </c>
      <c r="E3465" t="str">
        <f>"2007"</f>
        <v>2007</v>
      </c>
      <c r="F3465" t="str">
        <f>"BUSCHMANN"</f>
        <v>BUSCHMANN</v>
      </c>
      <c r="G3465" t="str">
        <f>"safirketab"</f>
        <v>safirketab</v>
      </c>
    </row>
    <row r="3466" spans="1:7" x14ac:dyDescent="0.25">
      <c r="A3466" t="str">
        <f>"Odour Impact Assessment Handbook"</f>
        <v>Odour Impact Assessment Handbook</v>
      </c>
      <c r="B3466" t="str">
        <f>"9781119969280"</f>
        <v>9781119969280</v>
      </c>
      <c r="C3466">
        <v>100.8</v>
      </c>
      <c r="D3466" t="str">
        <f t="shared" si="198"/>
        <v>USD</v>
      </c>
      <c r="E3466" t="str">
        <f>"2013"</f>
        <v>2013</v>
      </c>
      <c r="F3466" t="str">
        <f>"Belgiorno"</f>
        <v>Belgiorno</v>
      </c>
      <c r="G3466" t="str">
        <f>"avanddanesh"</f>
        <v>avanddanesh</v>
      </c>
    </row>
    <row r="3467" spans="1:7" x14ac:dyDescent="0.25">
      <c r="A3467" t="str">
        <f>"Oil"</f>
        <v>Oil</v>
      </c>
      <c r="B3467" t="str">
        <f>"9780745649269"</f>
        <v>9780745649269</v>
      </c>
      <c r="C3467">
        <v>12</v>
      </c>
      <c r="D3467" t="str">
        <f t="shared" si="198"/>
        <v>USD</v>
      </c>
      <c r="E3467" t="str">
        <f>"2012"</f>
        <v>2012</v>
      </c>
      <c r="F3467" t="str">
        <f>"Bridge"</f>
        <v>Bridge</v>
      </c>
      <c r="G3467" t="str">
        <f>"avanddanesh"</f>
        <v>avanddanesh</v>
      </c>
    </row>
    <row r="3468" spans="1:7" x14ac:dyDescent="0.25">
      <c r="A3468" t="str">
        <f>"Oil and Gas Pipelines in the Black-Caspian Seas Region"</f>
        <v>Oil and Gas Pipelines in the Black-Caspian Seas Region</v>
      </c>
      <c r="B3468" t="str">
        <f>"9783319439068"</f>
        <v>9783319439068</v>
      </c>
      <c r="C3468">
        <v>251.99</v>
      </c>
      <c r="D3468" t="str">
        <f>"EUR"</f>
        <v>EUR</v>
      </c>
      <c r="E3468" t="str">
        <f>"2016"</f>
        <v>2016</v>
      </c>
      <c r="F3468" t="str">
        <f>"Zhiltsov"</f>
        <v>Zhiltsov</v>
      </c>
      <c r="G3468" t="str">
        <f>"negarestanabi"</f>
        <v>negarestanabi</v>
      </c>
    </row>
    <row r="3469" spans="1:7" x14ac:dyDescent="0.25">
      <c r="A3469" t="str">
        <f>"OIL ON WATER : TANKERS, PIRATES AND THE RISE OF CHINA"</f>
        <v>OIL ON WATER : TANKERS, PIRATES AND THE RISE OF CHINA</v>
      </c>
      <c r="B3469" t="str">
        <f>"9781848134690"</f>
        <v>9781848134690</v>
      </c>
      <c r="C3469">
        <v>5.09</v>
      </c>
      <c r="D3469" t="str">
        <f>"GBP"</f>
        <v>GBP</v>
      </c>
      <c r="E3469" t="str">
        <f>"2010"</f>
        <v>2010</v>
      </c>
      <c r="F3469" t="str">
        <f>"SAM CHAMBERS"</f>
        <v>SAM CHAMBERS</v>
      </c>
      <c r="G3469" t="str">
        <f>"AsarBartar"</f>
        <v>AsarBartar</v>
      </c>
    </row>
    <row r="3470" spans="1:7" x14ac:dyDescent="0.25">
      <c r="A3470" t="str">
        <f>"Oil Spill Impacts: Taxonomic and Ontological Approaches"</f>
        <v>Oil Spill Impacts: Taxonomic and Ontological Approaches</v>
      </c>
      <c r="B3470" t="str">
        <f>"9781498712149"</f>
        <v>9781498712149</v>
      </c>
      <c r="C3470">
        <v>69.7</v>
      </c>
      <c r="D3470" t="str">
        <f>"GBP"</f>
        <v>GBP</v>
      </c>
      <c r="E3470" t="str">
        <f>"2016"</f>
        <v>2016</v>
      </c>
      <c r="F3470" t="str">
        <f>"Yejun Wu(Editor)"</f>
        <v>Yejun Wu(Editor)</v>
      </c>
      <c r="G3470" t="str">
        <f>"AsarBartar"</f>
        <v>AsarBartar</v>
      </c>
    </row>
    <row r="3471" spans="1:7" x14ac:dyDescent="0.25">
      <c r="A3471" t="str">
        <f>"Oil Spill Risk Management: Modeling Gulf of Mexico Circulation and Oil Dispersal"</f>
        <v>Oil Spill Risk Management: Modeling Gulf of Mexico Circulation and Oil Dispersal</v>
      </c>
      <c r="B3471" t="str">
        <f>"9781118290385"</f>
        <v>9781118290385</v>
      </c>
      <c r="C3471">
        <v>150.69999999999999</v>
      </c>
      <c r="D3471" t="str">
        <f>"USD"</f>
        <v>USD</v>
      </c>
      <c r="E3471" t="str">
        <f>"2014"</f>
        <v>2014</v>
      </c>
      <c r="F3471" t="str">
        <f>"Dietrich"</f>
        <v>Dietrich</v>
      </c>
      <c r="G3471" t="str">
        <f>"avanddanesh"</f>
        <v>avanddanesh</v>
      </c>
    </row>
    <row r="3472" spans="1:7" x14ac:dyDescent="0.25">
      <c r="A3472" t="str">
        <f>"Operating Practices For Industrial Water Managementâ€”Vol. 1 : Influent Water Systems, HB"</f>
        <v>Operating Practices For Industrial Water Managementâ€”Vol. 1 : Influent Water Systems, HB</v>
      </c>
      <c r="B3472" t="str">
        <f>"9781933762098"</f>
        <v>9781933762098</v>
      </c>
      <c r="C3472">
        <v>98</v>
      </c>
      <c r="D3472" t="str">
        <f>"USD"</f>
        <v>USD</v>
      </c>
      <c r="E3472" t="str">
        <f>"2007"</f>
        <v>2007</v>
      </c>
      <c r="F3472" t="str">
        <f>"Huchler"</f>
        <v>Huchler</v>
      </c>
      <c r="G3472" t="str">
        <f>"supply"</f>
        <v>supply</v>
      </c>
    </row>
    <row r="3473" spans="1:7" x14ac:dyDescent="0.25">
      <c r="A3473" t="str">
        <f>"Operational Flood Forecasting, Warning and Response for Multi-Scale Flood Risks in Developing Cities"</f>
        <v>Operational Flood Forecasting, Warning and Response for Multi-Scale Flood Risks in Developing Cities</v>
      </c>
      <c r="B3473" t="str">
        <f>"9781138030039"</f>
        <v>9781138030039</v>
      </c>
      <c r="C3473">
        <v>42.5</v>
      </c>
      <c r="D3473" t="str">
        <f>"GBP"</f>
        <v>GBP</v>
      </c>
      <c r="E3473" t="str">
        <f>"2016"</f>
        <v>2016</v>
      </c>
      <c r="F3473" t="str">
        <f>"Mar?a Carolina Roge"</f>
        <v>Mar?a Carolina Roge</v>
      </c>
      <c r="G3473" t="str">
        <f>"AsarBartar"</f>
        <v>AsarBartar</v>
      </c>
    </row>
    <row r="3474" spans="1:7" x14ac:dyDescent="0.25">
      <c r="A3474" t="str">
        <f>"Operational Weather Forecasting"</f>
        <v>Operational Weather Forecasting</v>
      </c>
      <c r="B3474" t="str">
        <f>"9780470711583"</f>
        <v>9780470711583</v>
      </c>
      <c r="C3474">
        <v>42.3</v>
      </c>
      <c r="D3474" t="str">
        <f>"USD"</f>
        <v>USD</v>
      </c>
      <c r="E3474" t="str">
        <f>"2013"</f>
        <v>2013</v>
      </c>
      <c r="F3474" t="str">
        <f>"Inness"</f>
        <v>Inness</v>
      </c>
      <c r="G3474" t="str">
        <f>"avanddanesh"</f>
        <v>avanddanesh</v>
      </c>
    </row>
    <row r="3475" spans="1:7" x14ac:dyDescent="0.25">
      <c r="A3475" t="str">
        <f>"Optimization of Solid Waste Conversion Process and Risk Control of Groundwater Pollution"</f>
        <v>Optimization of Solid Waste Conversion Process and Risk Control of Groundwater Pollution</v>
      </c>
      <c r="B3475" t="str">
        <f>"9783662494608"</f>
        <v>9783662494608</v>
      </c>
      <c r="C3475">
        <v>49.49</v>
      </c>
      <c r="D3475" t="str">
        <f>"EUR"</f>
        <v>EUR</v>
      </c>
      <c r="E3475" t="str">
        <f>"2016"</f>
        <v>2016</v>
      </c>
      <c r="F3475" t="str">
        <f>"Xi"</f>
        <v>Xi</v>
      </c>
      <c r="G3475" t="str">
        <f>"negarestanabi"</f>
        <v>negarestanabi</v>
      </c>
    </row>
    <row r="3476" spans="1:7" x14ac:dyDescent="0.25">
      <c r="A3476" t="str">
        <f>"Organic Pollutants in the Water Cycle : Properties,Occurrence,Analysis &amp; Environmental Relevance of Polar Compounds"</f>
        <v>Organic Pollutants in the Water Cycle : Properties,Occurrence,Analysis &amp; Environmental Relevance of Polar Compounds</v>
      </c>
      <c r="B3476" t="str">
        <f>"9783527312979"</f>
        <v>9783527312979</v>
      </c>
      <c r="C3476">
        <v>126</v>
      </c>
      <c r="D3476" t="str">
        <f>"USD"</f>
        <v>USD</v>
      </c>
      <c r="E3476" t="str">
        <f>"2006"</f>
        <v>2006</v>
      </c>
      <c r="F3476" t="str">
        <f>"Reemtsma-Chemistry"</f>
        <v>Reemtsma-Chemistry</v>
      </c>
      <c r="G3476" t="str">
        <f>"safirketab"</f>
        <v>safirketab</v>
      </c>
    </row>
    <row r="3477" spans="1:7" x14ac:dyDescent="0.25">
      <c r="A3477" t="str">
        <f>"Origin of Carbonate Sedimentary Rocks"</f>
        <v>Origin of Carbonate Sedimentary Rocks</v>
      </c>
      <c r="B3477" t="str">
        <f>"9781118652732"</f>
        <v>9781118652732</v>
      </c>
      <c r="C3477">
        <v>48</v>
      </c>
      <c r="D3477" t="str">
        <f>"USD"</f>
        <v>USD</v>
      </c>
      <c r="E3477" t="str">
        <f>"2015"</f>
        <v>2015</v>
      </c>
      <c r="F3477" t="str">
        <f>"James"</f>
        <v>James</v>
      </c>
      <c r="G3477" t="str">
        <f>"avanddanesh"</f>
        <v>avanddanesh</v>
      </c>
    </row>
    <row r="3478" spans="1:7" x14ac:dyDescent="0.25">
      <c r="A3478" t="str">
        <f>"OUT OF THE MAINSTREAM: WATER RIGHTS, POLITICS AND IDENTITY"</f>
        <v>OUT OF THE MAINSTREAM: WATER RIGHTS, POLITICS AND IDENTITY</v>
      </c>
      <c r="B3478" t="str">
        <f>"9781844076765"</f>
        <v>9781844076765</v>
      </c>
      <c r="C3478">
        <v>19.5</v>
      </c>
      <c r="D3478" t="str">
        <f>"GBP"</f>
        <v>GBP</v>
      </c>
      <c r="E3478" t="str">
        <f>"2010"</f>
        <v>2010</v>
      </c>
      <c r="F3478" t="str">
        <f>"ARMANDO GUEVARA GIL"</f>
        <v>ARMANDO GUEVARA GIL</v>
      </c>
      <c r="G3478" t="str">
        <f>"AsarBartar"</f>
        <v>AsarBartar</v>
      </c>
    </row>
    <row r="3479" spans="1:7" x14ac:dyDescent="0.25">
      <c r="A3479" t="str">
        <f>"Outlooks Redings For Enviromental Literacy"</f>
        <v>Outlooks Redings For Enviromental Literacy</v>
      </c>
      <c r="B3479" t="str">
        <f>"9780763732806"</f>
        <v>9780763732806</v>
      </c>
      <c r="C3479">
        <v>7.5</v>
      </c>
      <c r="D3479" t="str">
        <f>"GBP"</f>
        <v>GBP</v>
      </c>
      <c r="E3479" t="str">
        <f>"2004"</f>
        <v>2004</v>
      </c>
      <c r="F3479" t="str">
        <f>"Mckinney"</f>
        <v>Mckinney</v>
      </c>
      <c r="G3479" t="str">
        <f>"kowkab"</f>
        <v>kowkab</v>
      </c>
    </row>
    <row r="3480" spans="1:7" x14ac:dyDescent="0.25">
      <c r="A3480" t="str">
        <f>"OZONE ECOLOGY : Hazards Of Depletion, HB"</f>
        <v>OZONE ECOLOGY : Hazards Of Depletion, HB</v>
      </c>
      <c r="B3480" t="str">
        <f>"9788178886398"</f>
        <v>9788178886398</v>
      </c>
      <c r="C3480">
        <v>23.66</v>
      </c>
      <c r="D3480" t="str">
        <f>"USD"</f>
        <v>USD</v>
      </c>
      <c r="E3480" t="str">
        <f>"2011"</f>
        <v>2011</v>
      </c>
      <c r="F3480" t="str">
        <f>"Nambian"</f>
        <v>Nambian</v>
      </c>
      <c r="G3480" t="str">
        <f>"supply"</f>
        <v>supply</v>
      </c>
    </row>
    <row r="3481" spans="1:7" x14ac:dyDescent="0.25">
      <c r="A3481" t="str">
        <f>"Paradigms in Pollution Prevention"</f>
        <v>Paradigms in Pollution Prevention</v>
      </c>
      <c r="B3481" t="str">
        <f>"9783319584140"</f>
        <v>9783319584140</v>
      </c>
      <c r="C3481">
        <v>62.99</v>
      </c>
      <c r="D3481" t="str">
        <f>"EUR"</f>
        <v>EUR</v>
      </c>
      <c r="E3481" t="str">
        <f>"2018"</f>
        <v>2018</v>
      </c>
      <c r="F3481" t="str">
        <f>"Jindal"</f>
        <v>Jindal</v>
      </c>
      <c r="G3481" t="str">
        <f>"negarestanabi"</f>
        <v>negarestanabi</v>
      </c>
    </row>
    <row r="3482" spans="1:7" x14ac:dyDescent="0.25">
      <c r="A3482" t="str">
        <f>"PEATLAND BIOGEOCHEMISTRY AND WATERSHED HYDROLOGY AT THE"</f>
        <v>PEATLAND BIOGEOCHEMISTRY AND WATERSHED HYDROLOGY AT THE</v>
      </c>
      <c r="B3482" t="str">
        <f>"9781439814246"</f>
        <v>9781439814246</v>
      </c>
      <c r="C3482">
        <v>26.7</v>
      </c>
      <c r="D3482" t="str">
        <f>"GBP"</f>
        <v>GBP</v>
      </c>
      <c r="E3482" t="str">
        <f>"2011"</f>
        <v>2011</v>
      </c>
      <c r="F3482" t="str">
        <f>"KOLKA"</f>
        <v>KOLKA</v>
      </c>
      <c r="G3482" t="str">
        <f>"AsarBartar"</f>
        <v>AsarBartar</v>
      </c>
    </row>
    <row r="3483" spans="1:7" x14ac:dyDescent="0.25">
      <c r="A3483" t="str">
        <f>"Peer Review and Manuscript Management in Scientific Journals: Guidelines for Good Practice"</f>
        <v>Peer Review and Manuscript Management in Scientific Journals: Guidelines for Good Practice</v>
      </c>
      <c r="B3483" t="str">
        <f>"9781405131599"</f>
        <v>9781405131599</v>
      </c>
      <c r="C3483">
        <v>29.97</v>
      </c>
      <c r="D3483" t="str">
        <f t="shared" ref="D3483:D3492" si="199">"USD"</f>
        <v>USD</v>
      </c>
      <c r="E3483" t="str">
        <f>"2007"</f>
        <v>2007</v>
      </c>
      <c r="F3483" t="str">
        <f>"Hames"</f>
        <v>Hames</v>
      </c>
      <c r="G3483" t="str">
        <f>"safirketab"</f>
        <v>safirketab</v>
      </c>
    </row>
    <row r="3484" spans="1:7" x14ac:dyDescent="0.25">
      <c r="A3484" t="str">
        <f>"PEM Water Electrolysis"</f>
        <v>PEM Water Electrolysis</v>
      </c>
      <c r="B3484" t="str">
        <f>"9780128111451"</f>
        <v>9780128111451</v>
      </c>
      <c r="C3484">
        <v>53.95</v>
      </c>
      <c r="D3484" t="str">
        <f t="shared" si="199"/>
        <v>USD</v>
      </c>
      <c r="E3484" t="str">
        <f>"2017"</f>
        <v>2017</v>
      </c>
      <c r="F3484" t="str">
        <f>"Bessarabov and Mille"</f>
        <v>Bessarabov and Mille</v>
      </c>
      <c r="G3484" t="str">
        <f>"dehkadehketab"</f>
        <v>dehkadehketab</v>
      </c>
    </row>
    <row r="3485" spans="1:7" x14ac:dyDescent="0.25">
      <c r="A3485" t="str">
        <f>"Perchlorate"</f>
        <v>Perchlorate</v>
      </c>
      <c r="B3485" t="str">
        <f>"9780387311142"</f>
        <v>9780387311142</v>
      </c>
      <c r="C3485">
        <v>61.71</v>
      </c>
      <c r="D3485" t="str">
        <f t="shared" si="199"/>
        <v>USD</v>
      </c>
      <c r="E3485" t="str">
        <f>"2006"</f>
        <v>2006</v>
      </c>
      <c r="F3485" t="str">
        <f>"Gu,B.(Eds)"</f>
        <v>Gu,B.(Eds)</v>
      </c>
      <c r="G3485" t="str">
        <f>"safirketab"</f>
        <v>safirketab</v>
      </c>
    </row>
    <row r="3486" spans="1:7" x14ac:dyDescent="0.25">
      <c r="A3486" t="str">
        <f>"Periglacial Environment,4e"</f>
        <v>Periglacial Environment,4e</v>
      </c>
      <c r="B3486" t="str">
        <f>"9781119132783"</f>
        <v>9781119132783</v>
      </c>
      <c r="C3486">
        <v>67.5</v>
      </c>
      <c r="D3486" t="str">
        <f t="shared" si="199"/>
        <v>USD</v>
      </c>
      <c r="E3486" t="str">
        <f>"2017"</f>
        <v>2017</v>
      </c>
      <c r="F3486" t="str">
        <f>"French"</f>
        <v>French</v>
      </c>
      <c r="G3486" t="str">
        <f>"avanddanesh"</f>
        <v>avanddanesh</v>
      </c>
    </row>
    <row r="3487" spans="1:7" x14ac:dyDescent="0.25">
      <c r="A3487" t="str">
        <f>"Periglacial Geomorphology"</f>
        <v>Periglacial Geomorphology</v>
      </c>
      <c r="B3487" t="str">
        <f>"9781405100069"</f>
        <v>9781405100069</v>
      </c>
      <c r="C3487">
        <v>72</v>
      </c>
      <c r="D3487" t="str">
        <f t="shared" si="199"/>
        <v>USD</v>
      </c>
      <c r="E3487" t="str">
        <f>"2017"</f>
        <v>2017</v>
      </c>
      <c r="F3487" t="str">
        <f>"Ballantyne"</f>
        <v>Ballantyne</v>
      </c>
      <c r="G3487" t="str">
        <f>"avanddanesh"</f>
        <v>avanddanesh</v>
      </c>
    </row>
    <row r="3488" spans="1:7" x14ac:dyDescent="0.25">
      <c r="A3488" t="str">
        <f>"Persistent Organic Pollutants"</f>
        <v>Persistent Organic Pollutants</v>
      </c>
      <c r="B3488" t="str">
        <f>"9781405169301"</f>
        <v>9781405169301</v>
      </c>
      <c r="C3488">
        <v>66</v>
      </c>
      <c r="D3488" t="str">
        <f t="shared" si="199"/>
        <v>USD</v>
      </c>
      <c r="E3488" t="str">
        <f>"2009"</f>
        <v>2009</v>
      </c>
      <c r="F3488" t="str">
        <f>"Harrad"</f>
        <v>Harrad</v>
      </c>
      <c r="G3488" t="str">
        <f>"safirketab"</f>
        <v>safirketab</v>
      </c>
    </row>
    <row r="3489" spans="1:7" x14ac:dyDescent="0.25">
      <c r="A3489" t="str">
        <f>"Persistent Organic Pollutants"</f>
        <v>Persistent Organic Pollutants</v>
      </c>
      <c r="B3489" t="str">
        <f>"9781405169301"</f>
        <v>9781405169301</v>
      </c>
      <c r="C3489">
        <v>66</v>
      </c>
      <c r="D3489" t="str">
        <f t="shared" si="199"/>
        <v>USD</v>
      </c>
      <c r="E3489" t="str">
        <f>"2009"</f>
        <v>2009</v>
      </c>
      <c r="F3489" t="str">
        <f>"Harrad"</f>
        <v>Harrad</v>
      </c>
      <c r="G3489" t="str">
        <f>"avanddanesh"</f>
        <v>avanddanesh</v>
      </c>
    </row>
    <row r="3490" spans="1:7" x14ac:dyDescent="0.25">
      <c r="A3490" t="str">
        <f>"Personal Care Compounds in the Environment: Pathways, Fate and Methods for Determination"</f>
        <v>Personal Care Compounds in the Environment: Pathways, Fate and Methods for Determination</v>
      </c>
      <c r="B3490" t="str">
        <f>"9783527315673"</f>
        <v>9783527315673</v>
      </c>
      <c r="C3490">
        <v>114</v>
      </c>
      <c r="D3490" t="str">
        <f t="shared" si="199"/>
        <v>USD</v>
      </c>
      <c r="E3490" t="str">
        <f>"2007"</f>
        <v>2007</v>
      </c>
      <c r="F3490" t="str">
        <f>"Bester-Chemistry"</f>
        <v>Bester-Chemistry</v>
      </c>
      <c r="G3490" t="str">
        <f>"safirketab"</f>
        <v>safirketab</v>
      </c>
    </row>
    <row r="3491" spans="1:7" x14ac:dyDescent="0.25">
      <c r="A3491" t="str">
        <f>"PERSPECTIVES IN ANIMAL ECOLOGY AND REPRODUCTION, VOL 6, HB"</f>
        <v>PERSPECTIVES IN ANIMAL ECOLOGY AND REPRODUCTION, VOL 6, HB</v>
      </c>
      <c r="B3491" t="str">
        <f>"9788170356356"</f>
        <v>9788170356356</v>
      </c>
      <c r="C3491">
        <v>30.8</v>
      </c>
      <c r="D3491" t="str">
        <f t="shared" si="199"/>
        <v>USD</v>
      </c>
      <c r="E3491" t="str">
        <f>"2010"</f>
        <v>2010</v>
      </c>
      <c r="F3491" t="str">
        <f>"Gupta"</f>
        <v>Gupta</v>
      </c>
      <c r="G3491" t="str">
        <f>"supply"</f>
        <v>supply</v>
      </c>
    </row>
    <row r="3492" spans="1:7" x14ac:dyDescent="0.25">
      <c r="A3492" t="str">
        <f>"Perspectives in Carbonate Geology"</f>
        <v>Perspectives in Carbonate Geology</v>
      </c>
      <c r="B3492" t="str">
        <f>"9781405193801"</f>
        <v>9781405193801</v>
      </c>
      <c r="C3492">
        <v>119.96</v>
      </c>
      <c r="D3492" t="str">
        <f t="shared" si="199"/>
        <v>USD</v>
      </c>
      <c r="E3492" t="str">
        <f>"2009"</f>
        <v>2009</v>
      </c>
      <c r="F3492" t="str">
        <f>"Swart"</f>
        <v>Swart</v>
      </c>
      <c r="G3492" t="str">
        <f>"safirketab"</f>
        <v>safirketab</v>
      </c>
    </row>
    <row r="3493" spans="1:7" x14ac:dyDescent="0.25">
      <c r="A3493" t="str">
        <f>"Perspectives in Environmental Toxicology"</f>
        <v>Perspectives in Environmental Toxicology</v>
      </c>
      <c r="B3493" t="str">
        <f>"9783319462479"</f>
        <v>9783319462479</v>
      </c>
      <c r="C3493">
        <v>107.99</v>
      </c>
      <c r="D3493" t="str">
        <f>"EUR"</f>
        <v>EUR</v>
      </c>
      <c r="E3493" t="str">
        <f>"2017"</f>
        <v>2017</v>
      </c>
      <c r="F3493" t="str">
        <f>"Kesari"</f>
        <v>Kesari</v>
      </c>
      <c r="G3493" t="str">
        <f>"negarestanabi"</f>
        <v>negarestanabi</v>
      </c>
    </row>
    <row r="3494" spans="1:7" x14ac:dyDescent="0.25">
      <c r="A3494" t="str">
        <f>"Pesticides: Health, Safety and the Environment,2e"</f>
        <v>Pesticides: Health, Safety and the Environment,2e</v>
      </c>
      <c r="B3494" t="str">
        <f>"9781118975862"</f>
        <v>9781118975862</v>
      </c>
      <c r="C3494">
        <v>116</v>
      </c>
      <c r="D3494" t="str">
        <f>"USD"</f>
        <v>USD</v>
      </c>
      <c r="E3494" t="str">
        <f>"2015"</f>
        <v>2015</v>
      </c>
      <c r="F3494" t="str">
        <f>"Matthews"</f>
        <v>Matthews</v>
      </c>
      <c r="G3494" t="str">
        <f>"avanddanesh"</f>
        <v>avanddanesh</v>
      </c>
    </row>
    <row r="3495" spans="1:7" x14ac:dyDescent="0.25">
      <c r="A3495" t="str">
        <f>"Petroleum Accumulation Zones on Continental Margins"</f>
        <v>Petroleum Accumulation Zones on Continental Margins</v>
      </c>
      <c r="B3495" t="str">
        <f>"9781118385074"</f>
        <v>9781118385074</v>
      </c>
      <c r="C3495">
        <v>127.2</v>
      </c>
      <c r="D3495" t="str">
        <f>"USD"</f>
        <v>USD</v>
      </c>
      <c r="E3495" t="str">
        <f>"2012"</f>
        <v>2012</v>
      </c>
      <c r="F3495" t="str">
        <f>"Grigorenko"</f>
        <v>Grigorenko</v>
      </c>
      <c r="G3495" t="str">
        <f>"avanddanesh"</f>
        <v>avanddanesh</v>
      </c>
    </row>
    <row r="3496" spans="1:7" x14ac:dyDescent="0.25">
      <c r="A3496" t="str">
        <f>"Pharmaceuticals in the Environment"</f>
        <v>Pharmaceuticals in the Environment</v>
      </c>
      <c r="B3496" t="str">
        <f>"9781782621898"</f>
        <v>9781782621898</v>
      </c>
      <c r="C3496">
        <v>43.6</v>
      </c>
      <c r="D3496" t="str">
        <f>"GBP"</f>
        <v>GBP</v>
      </c>
      <c r="E3496" t="str">
        <f>"2016"</f>
        <v>2016</v>
      </c>
      <c r="F3496" t="str">
        <f>"Hester, Harrison"</f>
        <v>Hester, Harrison</v>
      </c>
      <c r="G3496" t="str">
        <f>"arzinbooks"</f>
        <v>arzinbooks</v>
      </c>
    </row>
    <row r="3497" spans="1:7" x14ac:dyDescent="0.25">
      <c r="A3497" t="str">
        <f>"PHARMACEUTICALS IN THE ENVIRONMENT : CURRENT KNOWLEDGE"</f>
        <v>PHARMACEUTICALS IN THE ENVIRONMENT : CURRENT KNOWLEDGE</v>
      </c>
      <c r="B3497" t="str">
        <f>"9781843393146"</f>
        <v>9781843393146</v>
      </c>
      <c r="C3497">
        <v>30.3</v>
      </c>
      <c r="D3497" t="str">
        <f>"GBP"</f>
        <v>GBP</v>
      </c>
      <c r="E3497" t="str">
        <f>"2010"</f>
        <v>2010</v>
      </c>
      <c r="F3497" t="str">
        <f>"BENOIT ROIG"</f>
        <v>BENOIT ROIG</v>
      </c>
      <c r="G3497" t="str">
        <f>"AsarBartar"</f>
        <v>AsarBartar</v>
      </c>
    </row>
    <row r="3498" spans="1:7" x14ac:dyDescent="0.25">
      <c r="A3498" t="str">
        <f>"Photosynthesis in the Marine Environment"</f>
        <v>Photosynthesis in the Marine Environment</v>
      </c>
      <c r="B3498" t="str">
        <f>"9781119979579"</f>
        <v>9781119979579</v>
      </c>
      <c r="C3498">
        <v>37.5</v>
      </c>
      <c r="D3498" t="str">
        <f>"USD"</f>
        <v>USD</v>
      </c>
      <c r="E3498" t="str">
        <f>"2014"</f>
        <v>2014</v>
      </c>
      <c r="F3498" t="str">
        <f>"Beer"</f>
        <v>Beer</v>
      </c>
      <c r="G3498" t="str">
        <f>"avanddanesh"</f>
        <v>avanddanesh</v>
      </c>
    </row>
    <row r="3499" spans="1:7" x14ac:dyDescent="0.25">
      <c r="A3499" t="str">
        <f>"Phycology and Microbiology"</f>
        <v>Phycology and Microbiology</v>
      </c>
      <c r="B3499" t="str">
        <f>"9789382127925"</f>
        <v>9789382127925</v>
      </c>
      <c r="C3499">
        <v>6.8</v>
      </c>
      <c r="D3499" t="str">
        <f>"USD"</f>
        <v>USD</v>
      </c>
      <c r="E3499" t="str">
        <f>"2015"</f>
        <v>2015</v>
      </c>
      <c r="F3499" t="str">
        <f>"Verma"</f>
        <v>Verma</v>
      </c>
      <c r="G3499" t="str">
        <f>"jahanadib"</f>
        <v>jahanadib</v>
      </c>
    </row>
    <row r="3500" spans="1:7" x14ac:dyDescent="0.25">
      <c r="A3500" t="str">
        <f>"Physical and Chemical Processes in the Aquatic Environment"</f>
        <v>Physical and Chemical Processes in the Aquatic Environment</v>
      </c>
      <c r="B3500" t="str">
        <f>"9781118111765"</f>
        <v>9781118111765</v>
      </c>
      <c r="C3500">
        <v>85.5</v>
      </c>
      <c r="D3500" t="str">
        <f>"USD"</f>
        <v>USD</v>
      </c>
      <c r="E3500" t="str">
        <f>"2014"</f>
        <v>2014</v>
      </c>
      <c r="F3500" t="str">
        <f>"Christensen"</f>
        <v>Christensen</v>
      </c>
      <c r="G3500" t="str">
        <f>"avanddanesh"</f>
        <v>avanddanesh</v>
      </c>
    </row>
    <row r="3501" spans="1:7" x14ac:dyDescent="0.25">
      <c r="A3501" t="str">
        <f>"PHYSICAL OCEANOGRAPHY, HB"</f>
        <v>PHYSICAL OCEANOGRAPHY, HB</v>
      </c>
      <c r="B3501" t="str">
        <f>"9788131307939"</f>
        <v>9788131307939</v>
      </c>
      <c r="C3501">
        <v>11.55</v>
      </c>
      <c r="D3501" t="str">
        <f>"USD"</f>
        <v>USD</v>
      </c>
      <c r="E3501" t="str">
        <f>"2010"</f>
        <v>2010</v>
      </c>
      <c r="F3501" t="str">
        <f>"Murty"</f>
        <v>Murty</v>
      </c>
      <c r="G3501" t="str">
        <f>"supply"</f>
        <v>supply</v>
      </c>
    </row>
    <row r="3502" spans="1:7" x14ac:dyDescent="0.25">
      <c r="A3502" t="str">
        <f>"Phytoremediation of Environmental Pollutants"</f>
        <v>Phytoremediation of Environmental Pollutants</v>
      </c>
      <c r="B3502" t="str">
        <f>"9781138062603"</f>
        <v>9781138062603</v>
      </c>
      <c r="C3502">
        <v>130.5</v>
      </c>
      <c r="D3502" t="str">
        <f>"GBP"</f>
        <v>GBP</v>
      </c>
      <c r="E3502" t="str">
        <f>"2018"</f>
        <v>2018</v>
      </c>
      <c r="F3502" t="str">
        <f>"Chandra"</f>
        <v>Chandra</v>
      </c>
      <c r="G3502" t="str">
        <f>"sal"</f>
        <v>sal</v>
      </c>
    </row>
    <row r="3503" spans="1:7" x14ac:dyDescent="0.25">
      <c r="A3503" t="str">
        <f>"Phytoremediation Potential of Bioenergy Plants"</f>
        <v>Phytoremediation Potential of Bioenergy Plants</v>
      </c>
      <c r="B3503" t="str">
        <f>"9789811030833"</f>
        <v>9789811030833</v>
      </c>
      <c r="C3503">
        <v>116.99</v>
      </c>
      <c r="D3503" t="str">
        <f>"EUR"</f>
        <v>EUR</v>
      </c>
      <c r="E3503" t="str">
        <f>"2017"</f>
        <v>2017</v>
      </c>
      <c r="F3503" t="str">
        <f>"Bauddh"</f>
        <v>Bauddh</v>
      </c>
      <c r="G3503" t="str">
        <f>"negarestanabi"</f>
        <v>negarestanabi</v>
      </c>
    </row>
    <row r="3504" spans="1:7" x14ac:dyDescent="0.25">
      <c r="A3504" t="str">
        <f>"PLANNING FOR SUSTAIABILITY"</f>
        <v>PLANNING FOR SUSTAIABILITY</v>
      </c>
      <c r="B3504" t="str">
        <f>"9780415322867"</f>
        <v>9780415322867</v>
      </c>
      <c r="C3504">
        <v>6.89</v>
      </c>
      <c r="D3504" t="str">
        <f>"GBP"</f>
        <v>GBP</v>
      </c>
      <c r="E3504" t="str">
        <f>"2004"</f>
        <v>2004</v>
      </c>
      <c r="F3504" t="str">
        <f>"S.WHEELER"</f>
        <v>S.WHEELER</v>
      </c>
      <c r="G3504" t="str">
        <f>"AsarBartar"</f>
        <v>AsarBartar</v>
      </c>
    </row>
    <row r="3505" spans="1:7" x14ac:dyDescent="0.25">
      <c r="A3505" t="str">
        <f>"Planning Local Economic Development: Fifth Edition"</f>
        <v>Planning Local Economic Development: Fifth Edition</v>
      </c>
      <c r="B3505" t="str">
        <f>"9781452242590"</f>
        <v>9781452242590</v>
      </c>
      <c r="C3505">
        <v>28.5</v>
      </c>
      <c r="D3505" t="str">
        <f>"GBP"</f>
        <v>GBP</v>
      </c>
      <c r="E3505" t="str">
        <f>"2013"</f>
        <v>2013</v>
      </c>
      <c r="F3505" t="str">
        <f>"Leigh N &amp; Blake"</f>
        <v>Leigh N &amp; Blake</v>
      </c>
      <c r="G3505" t="str">
        <f>"kowkab"</f>
        <v>kowkab</v>
      </c>
    </row>
    <row r="3506" spans="1:7" x14ac:dyDescent="0.25">
      <c r="A3506" t="str">
        <f>"Plant Conservation Science and Practice : The Role of Botanic Gardens"</f>
        <v>Plant Conservation Science and Practice : The Role of Botanic Gardens</v>
      </c>
      <c r="B3506" t="str">
        <f>"9781316602461"</f>
        <v>9781316602461</v>
      </c>
      <c r="C3506">
        <v>29.8</v>
      </c>
      <c r="D3506" t="str">
        <f>"GBP"</f>
        <v>GBP</v>
      </c>
      <c r="E3506" t="str">
        <f>"2017"</f>
        <v>2017</v>
      </c>
      <c r="F3506" t="str">
        <f>"Blackmore"</f>
        <v>Blackmore</v>
      </c>
      <c r="G3506" t="str">
        <f>"arzinbooks"</f>
        <v>arzinbooks</v>
      </c>
    </row>
    <row r="3507" spans="1:7" x14ac:dyDescent="0.25">
      <c r="A3507" t="str">
        <f>"PLANT,  ENVIRONMENT AND SUSTAINABILITY, HB"</f>
        <v>PLANT,  ENVIRONMENT AND SUSTAINABILITY, HB</v>
      </c>
      <c r="B3507" t="str">
        <f>"9788177544442"</f>
        <v>9788177544442</v>
      </c>
      <c r="C3507">
        <v>39.200000000000003</v>
      </c>
      <c r="D3507" t="str">
        <f>"USD"</f>
        <v>USD</v>
      </c>
      <c r="E3507" t="str">
        <f>"2011"</f>
        <v>2011</v>
      </c>
      <c r="F3507" t="str">
        <f>"Trivedi"</f>
        <v>Trivedi</v>
      </c>
      <c r="G3507" t="str">
        <f>"supply"</f>
        <v>supply</v>
      </c>
    </row>
    <row r="3508" spans="1:7" x14ac:dyDescent="0.25">
      <c r="A3508" t="str">
        <f>"Plasma Remediation Technology for Environmental Protection"</f>
        <v>Plasma Remediation Technology for Environmental Protection</v>
      </c>
      <c r="B3508" t="str">
        <f>"9789811036552"</f>
        <v>9789811036552</v>
      </c>
      <c r="C3508">
        <v>89.99</v>
      </c>
      <c r="D3508" t="str">
        <f>"EUR"</f>
        <v>EUR</v>
      </c>
      <c r="E3508" t="str">
        <f>"2017"</f>
        <v>2017</v>
      </c>
      <c r="F3508" t="str">
        <f>"Du"</f>
        <v>Du</v>
      </c>
      <c r="G3508" t="str">
        <f>"negarestanabi"</f>
        <v>negarestanabi</v>
      </c>
    </row>
    <row r="3509" spans="1:7" x14ac:dyDescent="0.25">
      <c r="A3509" t="str">
        <f>"Platinum Metals in the Environment"</f>
        <v>Platinum Metals in the Environment</v>
      </c>
      <c r="B3509" t="str">
        <f>"9783662445587"</f>
        <v>9783662445587</v>
      </c>
      <c r="C3509">
        <v>143.99</v>
      </c>
      <c r="D3509" t="str">
        <f>"EUR"</f>
        <v>EUR</v>
      </c>
      <c r="E3509" t="str">
        <f>"2015"</f>
        <v>2015</v>
      </c>
      <c r="F3509" t="str">
        <f>"Zereini"</f>
        <v>Zereini</v>
      </c>
      <c r="G3509" t="str">
        <f>"negarestanabi"</f>
        <v>negarestanabi</v>
      </c>
    </row>
    <row r="3510" spans="1:7" x14ac:dyDescent="0.25">
      <c r="A3510" t="str">
        <f>"Politics of Climate Change"</f>
        <v>Politics of Climate Change</v>
      </c>
      <c r="B3510" t="str">
        <f>"9780745646930"</f>
        <v>9780745646930</v>
      </c>
      <c r="C3510">
        <v>16.38</v>
      </c>
      <c r="D3510" t="str">
        <f>"USD"</f>
        <v>USD</v>
      </c>
      <c r="E3510" t="str">
        <f>"2009"</f>
        <v>2009</v>
      </c>
      <c r="F3510" t="str">
        <f>"Giddens"</f>
        <v>Giddens</v>
      </c>
      <c r="G3510" t="str">
        <f>"safirketab"</f>
        <v>safirketab</v>
      </c>
    </row>
    <row r="3511" spans="1:7" x14ac:dyDescent="0.25">
      <c r="A3511" t="str">
        <f>"POLITICS OF WATER: A SURVEY,THE"</f>
        <v>POLITICS OF WATER: A SURVEY,THE</v>
      </c>
      <c r="B3511" t="str">
        <f>"9781857433395"</f>
        <v>9781857433395</v>
      </c>
      <c r="C3511">
        <v>40.5</v>
      </c>
      <c r="D3511" t="str">
        <f>"GBP"</f>
        <v>GBP</v>
      </c>
      <c r="E3511" t="str">
        <f>"2010"</f>
        <v>2010</v>
      </c>
      <c r="F3511" t="str">
        <f>"TROTTIER"</f>
        <v>TROTTIER</v>
      </c>
      <c r="G3511" t="str">
        <f>"AsarBartar"</f>
        <v>AsarBartar</v>
      </c>
    </row>
    <row r="3512" spans="1:7" x14ac:dyDescent="0.25">
      <c r="A3512" t="str">
        <f>"Pollution And Biodiversity : Biosocial Aspects, HB"</f>
        <v>Pollution And Biodiversity : Biosocial Aspects, HB</v>
      </c>
      <c r="B3512" t="str">
        <f>"9788170355922"</f>
        <v>9788170355922</v>
      </c>
      <c r="C3512">
        <v>23.1</v>
      </c>
      <c r="D3512" t="str">
        <f>"USD"</f>
        <v>USD</v>
      </c>
      <c r="E3512" t="str">
        <f>"2009"</f>
        <v>2009</v>
      </c>
      <c r="F3512" t="str">
        <f>"Kumar"</f>
        <v>Kumar</v>
      </c>
      <c r="G3512" t="str">
        <f>"supply"</f>
        <v>supply</v>
      </c>
    </row>
    <row r="3513" spans="1:7" x14ac:dyDescent="0.25">
      <c r="A3513" t="str">
        <f>"Pollution Control and Resource Reuse for Alkaline Hydrometallurgy of Amphoteric Metal Hazardous Wastes"</f>
        <v>Pollution Control and Resource Reuse for Alkaline Hydrometallurgy of Amphoteric Metal Hazardous Wastes</v>
      </c>
      <c r="B3513" t="str">
        <f>"9783319551579"</f>
        <v>9783319551579</v>
      </c>
      <c r="C3513">
        <v>98.99</v>
      </c>
      <c r="D3513" t="str">
        <f>"EUR"</f>
        <v>EUR</v>
      </c>
      <c r="E3513" t="str">
        <f>"2017"</f>
        <v>2017</v>
      </c>
      <c r="F3513" t="str">
        <f>"Youcai"</f>
        <v>Youcai</v>
      </c>
      <c r="G3513" t="str">
        <f>"negarestanabi"</f>
        <v>negarestanabi</v>
      </c>
    </row>
    <row r="3514" spans="1:7" x14ac:dyDescent="0.25">
      <c r="A3514" t="str">
        <f>"Pollution Control Handbook for Oil and Gas Engineering"</f>
        <v>Pollution Control Handbook for Oil and Gas Engineering</v>
      </c>
      <c r="B3514" t="str">
        <f>"9781119117612"</f>
        <v>9781119117612</v>
      </c>
      <c r="C3514">
        <v>211.7</v>
      </c>
      <c r="D3514" t="str">
        <f>"USD"</f>
        <v>USD</v>
      </c>
      <c r="E3514" t="str">
        <f>"2016"</f>
        <v>2016</v>
      </c>
      <c r="F3514" t="str">
        <f>"Cheremisinoff"</f>
        <v>Cheremisinoff</v>
      </c>
      <c r="G3514" t="str">
        <f>"avanddanesh"</f>
        <v>avanddanesh</v>
      </c>
    </row>
    <row r="3515" spans="1:7" x14ac:dyDescent="0.25">
      <c r="A3515" t="str">
        <f>"POLLUTION MANAGEMENT, Set of 5 vols, HB"</f>
        <v>POLLUTION MANAGEMENT, Set of 5 vols, HB</v>
      </c>
      <c r="B3515" t="str">
        <f>"9788176483414"</f>
        <v>9788176483414</v>
      </c>
      <c r="C3515">
        <v>76.44</v>
      </c>
      <c r="D3515" t="str">
        <f>"USD"</f>
        <v>USD</v>
      </c>
      <c r="E3515" t="str">
        <f>"2009"</f>
        <v>2009</v>
      </c>
      <c r="F3515" t="str">
        <f>"Agarwal"</f>
        <v>Agarwal</v>
      </c>
      <c r="G3515" t="str">
        <f>"supply"</f>
        <v>supply</v>
      </c>
    </row>
    <row r="3516" spans="1:7" x14ac:dyDescent="0.25">
      <c r="A3516" t="str">
        <f>"Power Density: A Key to Understanding Energy Sources and Uses"</f>
        <v>Power Density: A Key to Understanding Energy Sources and Uses</v>
      </c>
      <c r="B3516" t="str">
        <f>"9780262029148"</f>
        <v>9780262029148</v>
      </c>
      <c r="C3516">
        <v>27.2</v>
      </c>
      <c r="D3516" t="str">
        <f>"USD"</f>
        <v>USD</v>
      </c>
      <c r="E3516" t="str">
        <f>"2015"</f>
        <v>2015</v>
      </c>
      <c r="F3516" t="str">
        <f>"Vaclav Smil"</f>
        <v>Vaclav Smil</v>
      </c>
      <c r="G3516" t="str">
        <f>"AsarBartar"</f>
        <v>AsarBartar</v>
      </c>
    </row>
    <row r="3517" spans="1:7" x14ac:dyDescent="0.25">
      <c r="A3517" t="str">
        <f>"POWER OF WATER, THE, HB"</f>
        <v>POWER OF WATER, THE, HB</v>
      </c>
      <c r="B3517" t="str">
        <f>"9783421042149"</f>
        <v>9783421042149</v>
      </c>
      <c r="C3517">
        <v>70</v>
      </c>
      <c r="D3517" t="str">
        <f>"USD"</f>
        <v>USD</v>
      </c>
      <c r="E3517" t="str">
        <f>"2006"</f>
        <v>2006</v>
      </c>
      <c r="F3517" t="str">
        <f>"Kueffner"</f>
        <v>Kueffner</v>
      </c>
      <c r="G3517" t="str">
        <f>"supply"</f>
        <v>supply</v>
      </c>
    </row>
    <row r="3518" spans="1:7" x14ac:dyDescent="0.25">
      <c r="A3518" t="str">
        <f>"Powerless Science? : Science and Politics in a Toxic World"</f>
        <v>Powerless Science? : Science and Politics in a Toxic World</v>
      </c>
      <c r="B3518" t="str">
        <f>"9781782382362"</f>
        <v>9781782382362</v>
      </c>
      <c r="C3518">
        <v>51</v>
      </c>
      <c r="D3518" t="str">
        <f>"GBP"</f>
        <v>GBP</v>
      </c>
      <c r="E3518" t="str">
        <f>"2014"</f>
        <v>2014</v>
      </c>
      <c r="F3518" t="str">
        <f>"Boudia/Jas"</f>
        <v>Boudia/Jas</v>
      </c>
      <c r="G3518" t="str">
        <f>"arzinbooks"</f>
        <v>arzinbooks</v>
      </c>
    </row>
    <row r="3519" spans="1:7" x14ac:dyDescent="0.25">
      <c r="A3519" t="str">
        <f>"Practical Hydraulics and Water Resources Engineering, Third Edition"</f>
        <v>Practical Hydraulics and Water Resources Engineering, Third Edition</v>
      </c>
      <c r="B3519" t="str">
        <f>"9781498761956"</f>
        <v>9781498761956</v>
      </c>
      <c r="C3519">
        <v>40.49</v>
      </c>
      <c r="D3519" t="str">
        <f>"GBP"</f>
        <v>GBP</v>
      </c>
      <c r="E3519" t="str">
        <f>"2017"</f>
        <v>2017</v>
      </c>
      <c r="F3519" t="str">
        <f>"KAY"</f>
        <v>KAY</v>
      </c>
      <c r="G3519" t="str">
        <f>"sal"</f>
        <v>sal</v>
      </c>
    </row>
    <row r="3520" spans="1:7" x14ac:dyDescent="0.25">
      <c r="A3520" t="str">
        <f>"Predicting Vehicle Trajectory"</f>
        <v>Predicting Vehicle Trajectory</v>
      </c>
      <c r="B3520" t="str">
        <f>"9781138030190"</f>
        <v>9781138030190</v>
      </c>
      <c r="C3520">
        <v>73.8</v>
      </c>
      <c r="D3520" t="str">
        <f>"GBP"</f>
        <v>GBP</v>
      </c>
      <c r="E3520" t="str">
        <f>"2017"</f>
        <v>2017</v>
      </c>
      <c r="F3520" t="str">
        <f>"Cesar Barrios Yuich"</f>
        <v>Cesar Barrios Yuich</v>
      </c>
      <c r="G3520" t="str">
        <f>"AsarBartar"</f>
        <v>AsarBartar</v>
      </c>
    </row>
    <row r="3521" spans="1:7" x14ac:dyDescent="0.25">
      <c r="A3521" t="str">
        <f>"PRINCIPIOS DE TRATAMIENTO DE AGUAS"</f>
        <v>PRINCIPIOS DE TRATAMIENTO DE AGUAS</v>
      </c>
      <c r="B3521" t="str">
        <f>"9786075228624"</f>
        <v>9786075228624</v>
      </c>
      <c r="C3521">
        <v>52.19</v>
      </c>
      <c r="D3521" t="str">
        <f>"GBP"</f>
        <v>GBP</v>
      </c>
      <c r="E3521" t="str">
        <f>"2017"</f>
        <v>2017</v>
      </c>
      <c r="F3521" t="str">
        <f>"Howe. Et Al."</f>
        <v>Howe. Et Al.</v>
      </c>
      <c r="G3521" t="str">
        <f>"AsarBartar"</f>
        <v>AsarBartar</v>
      </c>
    </row>
    <row r="3522" spans="1:7" x14ac:dyDescent="0.25">
      <c r="A3522" t="str">
        <f>"Principles of Environmental Science and Engineering"</f>
        <v>Principles of Environmental Science and Engineering</v>
      </c>
      <c r="B3522" t="str">
        <f>"9788120328938"</f>
        <v>9788120328938</v>
      </c>
      <c r="C3522">
        <v>5.95</v>
      </c>
      <c r="D3522" t="str">
        <f>"USD"</f>
        <v>USD</v>
      </c>
      <c r="E3522" t="str">
        <f>"2016"</f>
        <v>2016</v>
      </c>
      <c r="F3522" t="str">
        <f>"Rao"</f>
        <v>Rao</v>
      </c>
      <c r="G3522" t="str">
        <f>"safirketab"</f>
        <v>safirketab</v>
      </c>
    </row>
    <row r="3523" spans="1:7" x14ac:dyDescent="0.25">
      <c r="A3523" t="str">
        <f>"Principles of Environmental Science and Engineering"</f>
        <v>Principles of Environmental Science and Engineering</v>
      </c>
      <c r="B3523" t="str">
        <f>"9788120328938"</f>
        <v>9788120328938</v>
      </c>
      <c r="C3523">
        <v>5.95</v>
      </c>
      <c r="D3523" t="str">
        <f>"USD"</f>
        <v>USD</v>
      </c>
      <c r="E3523" t="str">
        <f>"2016"</f>
        <v>2016</v>
      </c>
      <c r="F3523" t="str">
        <f>"Rao"</f>
        <v>Rao</v>
      </c>
      <c r="G3523" t="str">
        <f>"jahanadib"</f>
        <v>jahanadib</v>
      </c>
    </row>
    <row r="3524" spans="1:7" x14ac:dyDescent="0.25">
      <c r="A3524" t="str">
        <f>"PRINCIPLES OF ENVIRONMENTAL STUDIES, HB"</f>
        <v>PRINCIPLES OF ENVIRONMENTAL STUDIES, HB</v>
      </c>
      <c r="B3524" t="str">
        <f>"9789380179681"</f>
        <v>9789380179681</v>
      </c>
      <c r="C3524">
        <v>30.87</v>
      </c>
      <c r="D3524" t="str">
        <f>"USD"</f>
        <v>USD</v>
      </c>
      <c r="E3524" t="str">
        <f>"2010"</f>
        <v>2010</v>
      </c>
      <c r="F3524" t="str">
        <f>"Bhatnagar"</f>
        <v>Bhatnagar</v>
      </c>
      <c r="G3524" t="str">
        <f>"supply"</f>
        <v>supply</v>
      </c>
    </row>
    <row r="3525" spans="1:7" x14ac:dyDescent="0.25">
      <c r="A3525" t="str">
        <f>"Principles of International Environmental Law"</f>
        <v>Principles of International Environmental Law</v>
      </c>
      <c r="B3525" t="str">
        <f>"9781108431125"</f>
        <v>9781108431125</v>
      </c>
      <c r="C3525">
        <v>38.299999999999997</v>
      </c>
      <c r="D3525" t="str">
        <f>"GBP"</f>
        <v>GBP</v>
      </c>
      <c r="E3525" t="str">
        <f>"2018"</f>
        <v>2018</v>
      </c>
      <c r="F3525" t="str">
        <f>"Sands"</f>
        <v>Sands</v>
      </c>
      <c r="G3525" t="str">
        <f>"arzinbooks"</f>
        <v>arzinbooks</v>
      </c>
    </row>
    <row r="3526" spans="1:7" x14ac:dyDescent="0.25">
      <c r="A3526" t="str">
        <f>"Principles of Soil and Plant Water Relations, 2nd Edition"</f>
        <v>Principles of Soil and Plant Water Relations, 2nd Edition</v>
      </c>
      <c r="B3526" t="str">
        <f>"9780124200227"</f>
        <v>9780124200227</v>
      </c>
      <c r="C3526">
        <v>89.95</v>
      </c>
      <c r="D3526" t="str">
        <f>"USD"</f>
        <v>USD</v>
      </c>
      <c r="E3526" t="str">
        <f>"2014"</f>
        <v>2014</v>
      </c>
      <c r="F3526" t="str">
        <f>"Kirkham"</f>
        <v>Kirkham</v>
      </c>
      <c r="G3526" t="str">
        <f>"arang"</f>
        <v>arang</v>
      </c>
    </row>
    <row r="3527" spans="1:7" x14ac:dyDescent="0.25">
      <c r="A3527" t="str">
        <f>"Principles of Stormwater Management"</f>
        <v>Principles of Stormwater Management</v>
      </c>
      <c r="B3527" t="str">
        <f>"9781138093621"</f>
        <v>9781138093621</v>
      </c>
      <c r="C3527">
        <v>90</v>
      </c>
      <c r="D3527" t="str">
        <f>"GBP"</f>
        <v>GBP</v>
      </c>
      <c r="E3527" t="str">
        <f>"2018"</f>
        <v>2018</v>
      </c>
      <c r="F3527" t="str">
        <f>"Griffin"</f>
        <v>Griffin</v>
      </c>
      <c r="G3527" t="str">
        <f>"sal"</f>
        <v>sal</v>
      </c>
    </row>
    <row r="3528" spans="1:7" x14ac:dyDescent="0.25">
      <c r="A3528" t="str">
        <f>"PRINCIPLES OF WATER AND WASTEWATER TREATMENT, HB"</f>
        <v>PRINCIPLES OF WATER AND WASTEWATER TREATMENT, HB</v>
      </c>
      <c r="B3528" t="str">
        <f>"9789380090214"</f>
        <v>9789380090214</v>
      </c>
      <c r="C3528">
        <v>21.42</v>
      </c>
      <c r="D3528" t="str">
        <f>"USD"</f>
        <v>USD</v>
      </c>
      <c r="E3528" t="str">
        <f>"2012"</f>
        <v>2012</v>
      </c>
      <c r="F3528" t="str">
        <f>"Gaur"</f>
        <v>Gaur</v>
      </c>
      <c r="G3528" t="str">
        <f>"supply"</f>
        <v>supply</v>
      </c>
    </row>
    <row r="3529" spans="1:7" x14ac:dyDescent="0.25">
      <c r="A3529" t="str">
        <f>"Processes Determining Surface Water Chemistry"</f>
        <v>Processes Determining Surface Water Chemistry</v>
      </c>
      <c r="B3529" t="str">
        <f>"9783319421582"</f>
        <v>9783319421582</v>
      </c>
      <c r="C3529">
        <v>125.99</v>
      </c>
      <c r="D3529" t="str">
        <f>"EUR"</f>
        <v>EUR</v>
      </c>
      <c r="E3529" t="str">
        <f>"2016"</f>
        <v>2016</v>
      </c>
      <c r="F3529" t="str">
        <f>"Osadchyy"</f>
        <v>Osadchyy</v>
      </c>
      <c r="G3529" t="str">
        <f>"negarestanabi"</f>
        <v>negarestanabi</v>
      </c>
    </row>
    <row r="3530" spans="1:7" x14ac:dyDescent="0.25">
      <c r="A3530" t="str">
        <f>"Processing Water, Wastewater, Residuals, and Excreta for Health and Environmental Protection: An Encyclopedic Dictionary"</f>
        <v>Processing Water, Wastewater, Residuals, and Excreta for Health and Environmental Protection: An Encyclopedic Dictionary</v>
      </c>
      <c r="B3530" t="str">
        <f>"9780470261934"</f>
        <v>9780470261934</v>
      </c>
      <c r="C3530">
        <v>145.80000000000001</v>
      </c>
      <c r="D3530" t="str">
        <f t="shared" ref="D3530:D3537" si="200">"USD"</f>
        <v>USD</v>
      </c>
      <c r="E3530" t="str">
        <f>"2008"</f>
        <v>2008</v>
      </c>
      <c r="F3530" t="str">
        <f>"Adrien"</f>
        <v>Adrien</v>
      </c>
      <c r="G3530" t="str">
        <f>"safirketab"</f>
        <v>safirketab</v>
      </c>
    </row>
    <row r="3531" spans="1:7" x14ac:dyDescent="0.25">
      <c r="A3531" t="str">
        <f>"Progress in Modern Hydrology: Past, Present and Future"</f>
        <v>Progress in Modern Hydrology: Past, Present and Future</v>
      </c>
      <c r="B3531" t="str">
        <f>"9781119074274"</f>
        <v>9781119074274</v>
      </c>
      <c r="C3531">
        <v>120</v>
      </c>
      <c r="D3531" t="str">
        <f t="shared" si="200"/>
        <v>USD</v>
      </c>
      <c r="E3531" t="str">
        <f>"2015"</f>
        <v>2015</v>
      </c>
      <c r="F3531" t="str">
        <f>"Rodda"</f>
        <v>Rodda</v>
      </c>
      <c r="G3531" t="str">
        <f>"avanddanesh"</f>
        <v>avanddanesh</v>
      </c>
    </row>
    <row r="3532" spans="1:7" x14ac:dyDescent="0.25">
      <c r="A3532" t="str">
        <f>"Progressive Engineering Practices in Marine Resource Management"</f>
        <v>Progressive Engineering Practices in Marine Resource Management</v>
      </c>
      <c r="B3532" t="str">
        <f>"9781466683334"</f>
        <v>9781466683334</v>
      </c>
      <c r="C3532">
        <v>159.30000000000001</v>
      </c>
      <c r="D3532" t="str">
        <f t="shared" si="200"/>
        <v>USD</v>
      </c>
      <c r="E3532" t="str">
        <f>"2015"</f>
        <v>2015</v>
      </c>
      <c r="F3532" t="str">
        <f>"Ivelina Zlateva"</f>
        <v>Ivelina Zlateva</v>
      </c>
      <c r="G3532" t="str">
        <f>"arzinbooks"</f>
        <v>arzinbooks</v>
      </c>
    </row>
    <row r="3533" spans="1:7" x14ac:dyDescent="0.25">
      <c r="A3533" t="str">
        <f>"Promoting Climate Change Awareness through Environmental Education"</f>
        <v>Promoting Climate Change Awareness through Environmental Education</v>
      </c>
      <c r="B3533" t="str">
        <f>"9781466687646"</f>
        <v>9781466687646</v>
      </c>
      <c r="C3533">
        <v>126.8</v>
      </c>
      <c r="D3533" t="str">
        <f t="shared" si="200"/>
        <v>USD</v>
      </c>
      <c r="E3533" t="str">
        <f>"2016"</f>
        <v>2016</v>
      </c>
      <c r="F3533" t="str">
        <f>"Lynn Wilson"</f>
        <v>Lynn Wilson</v>
      </c>
      <c r="G3533" t="str">
        <f>"arzinbooks"</f>
        <v>arzinbooks</v>
      </c>
    </row>
    <row r="3534" spans="1:7" x14ac:dyDescent="0.25">
      <c r="A3534" t="str">
        <f>"Promoting Sustainable Practices through Energy Engineering and Asset Management"</f>
        <v>Promoting Sustainable Practices through Energy Engineering and Asset Management</v>
      </c>
      <c r="B3534" t="str">
        <f>"9781466682221"</f>
        <v>9781466682221</v>
      </c>
      <c r="C3534">
        <v>152.80000000000001</v>
      </c>
      <c r="D3534" t="str">
        <f t="shared" si="200"/>
        <v>USD</v>
      </c>
      <c r="E3534" t="str">
        <f>"2015"</f>
        <v>2015</v>
      </c>
      <c r="F3534" t="str">
        <f>"Vicente Gonz?lez-Pri"</f>
        <v>Vicente Gonz?lez-Pri</v>
      </c>
      <c r="G3534" t="str">
        <f>"arzinbooks"</f>
        <v>arzinbooks</v>
      </c>
    </row>
    <row r="3535" spans="1:7" x14ac:dyDescent="0.25">
      <c r="A3535" t="str">
        <f>"Protected Areas: Are They Safeguarding Biodiversity"</f>
        <v>Protected Areas: Are They Safeguarding Biodiversity</v>
      </c>
      <c r="B3535" t="str">
        <f>"9781118338155"</f>
        <v>9781118338155</v>
      </c>
      <c r="C3535">
        <v>51</v>
      </c>
      <c r="D3535" t="str">
        <f t="shared" si="200"/>
        <v>USD</v>
      </c>
      <c r="E3535" t="str">
        <f>"2016"</f>
        <v>2016</v>
      </c>
      <c r="F3535" t="str">
        <f>"Joppa"</f>
        <v>Joppa</v>
      </c>
      <c r="G3535" t="str">
        <f>"avanddanesh"</f>
        <v>avanddanesh</v>
      </c>
    </row>
    <row r="3536" spans="1:7" x14ac:dyDescent="0.25">
      <c r="A3536" t="str">
        <f>"Protection and Conservation of Water Resources"</f>
        <v>Protection and Conservation of Water Resources</v>
      </c>
      <c r="B3536" t="str">
        <f>"9781119970040"</f>
        <v>9781119970040</v>
      </c>
      <c r="C3536">
        <v>85.5</v>
      </c>
      <c r="D3536" t="str">
        <f t="shared" si="200"/>
        <v>USD</v>
      </c>
      <c r="E3536" t="str">
        <f>"2017"</f>
        <v>2017</v>
      </c>
      <c r="F3536" t="str">
        <f>"Cook"</f>
        <v>Cook</v>
      </c>
      <c r="G3536" t="str">
        <f>"avanddanesh"</f>
        <v>avanddanesh</v>
      </c>
    </row>
    <row r="3537" spans="1:7" x14ac:dyDescent="0.25">
      <c r="A3537" t="str">
        <f>"Proton Transfer Reaction Mass Spectrometry: Principles and Applications"</f>
        <v>Proton Transfer Reaction Mass Spectrometry: Principles and Applications</v>
      </c>
      <c r="B3537" t="str">
        <f>"9781405176682"</f>
        <v>9781405176682</v>
      </c>
      <c r="C3537">
        <v>105</v>
      </c>
      <c r="D3537" t="str">
        <f t="shared" si="200"/>
        <v>USD</v>
      </c>
      <c r="E3537" t="str">
        <f>"2014"</f>
        <v>2014</v>
      </c>
      <c r="F3537" t="str">
        <f>"Ellis"</f>
        <v>Ellis</v>
      </c>
      <c r="G3537" t="str">
        <f>"avanddanesh"</f>
        <v>avanddanesh</v>
      </c>
    </row>
    <row r="3538" spans="1:7" x14ac:dyDescent="0.25">
      <c r="A3538" t="str">
        <f>"Public Health Risk Assessment for Human Exposure to Chemicals. 2/ed"</f>
        <v>Public Health Risk Assessment for Human Exposure to Chemicals. 2/ed</v>
      </c>
      <c r="B3538" t="str">
        <f>"9789402410372"</f>
        <v>9789402410372</v>
      </c>
      <c r="C3538">
        <v>134.99</v>
      </c>
      <c r="D3538" t="str">
        <f>"EUR"</f>
        <v>EUR</v>
      </c>
      <c r="E3538" t="str">
        <f>"2017"</f>
        <v>2017</v>
      </c>
      <c r="F3538" t="str">
        <f>"Asante-Duah"</f>
        <v>Asante-Duah</v>
      </c>
      <c r="G3538" t="str">
        <f>"negarestanabi"</f>
        <v>negarestanabi</v>
      </c>
    </row>
    <row r="3539" spans="1:7" x14ac:dyDescent="0.25">
      <c r="A3539" t="str">
        <f>"Public Perception Of Tap Water Chlorinous Flavor, W/Cd-Rom,  : Subject Area: Efficient And Customer-Responsive Organization, PB"</f>
        <v>Public Perception Of Tap Water Chlorinous Flavor, W/Cd-Rom,  : Subject Area: Efficient And Customer-Responsive Organization, PB</v>
      </c>
      <c r="B3539" t="str">
        <f>"9781843398820"</f>
        <v>9781843398820</v>
      </c>
      <c r="C3539">
        <v>84</v>
      </c>
      <c r="D3539" t="str">
        <f>"GBP"</f>
        <v>GBP</v>
      </c>
      <c r="E3539" t="str">
        <f>"2007"</f>
        <v>2007</v>
      </c>
      <c r="F3539" t="str">
        <f>"Crozes"</f>
        <v>Crozes</v>
      </c>
      <c r="G3539" t="str">
        <f>"supply"</f>
        <v>supply</v>
      </c>
    </row>
    <row r="3540" spans="1:7" x14ac:dyDescent="0.25">
      <c r="A3540" t="str">
        <f>"Qanat Knowledge: Construction and Maintenance"</f>
        <v>Qanat Knowledge: Construction and Maintenance</v>
      </c>
      <c r="B3540" t="str">
        <f>"9789402409550"</f>
        <v>9789402409550</v>
      </c>
      <c r="C3540">
        <v>89.99</v>
      </c>
      <c r="D3540" t="str">
        <f>"EUR"</f>
        <v>EUR</v>
      </c>
      <c r="E3540" t="str">
        <f>"2017"</f>
        <v>2017</v>
      </c>
      <c r="F3540" t="str">
        <f>"Semsar Yazdi"</f>
        <v>Semsar Yazdi</v>
      </c>
      <c r="G3540" t="str">
        <f>"negarestanabi"</f>
        <v>negarestanabi</v>
      </c>
    </row>
    <row r="3541" spans="1:7" x14ac:dyDescent="0.25">
      <c r="A3541" t="str">
        <f>"Quantitative Conservation of Vertebrates"</f>
        <v>Quantitative Conservation of Vertebrates</v>
      </c>
      <c r="B3541" t="str">
        <f>"9781405182287"</f>
        <v>9781405182287</v>
      </c>
      <c r="C3541">
        <v>59.95</v>
      </c>
      <c r="D3541" t="str">
        <f>"USD"</f>
        <v>USD</v>
      </c>
      <c r="E3541" t="str">
        <f>"2009"</f>
        <v>2009</v>
      </c>
      <c r="F3541" t="str">
        <f>"Conroy"</f>
        <v>Conroy</v>
      </c>
      <c r="G3541" t="str">
        <f>"safirketab"</f>
        <v>safirketab</v>
      </c>
    </row>
    <row r="3542" spans="1:7" x14ac:dyDescent="0.25">
      <c r="A3542" t="str">
        <f>"Quantitative Geography"</f>
        <v>Quantitative Geography</v>
      </c>
      <c r="B3542" t="str">
        <f>"9781446296547"</f>
        <v>9781446296547</v>
      </c>
      <c r="C3542">
        <v>17.239999999999998</v>
      </c>
      <c r="D3542" t="str">
        <f>"GBP"</f>
        <v>GBP</v>
      </c>
      <c r="E3542" t="str">
        <f>"2016"</f>
        <v>2016</v>
      </c>
      <c r="F3542" t="str">
        <f>"Richard Harris"</f>
        <v>Richard Harris</v>
      </c>
      <c r="G3542" t="str">
        <f>"kowkab"</f>
        <v>kowkab</v>
      </c>
    </row>
    <row r="3543" spans="1:7" x14ac:dyDescent="0.25">
      <c r="A3543" t="str">
        <f>"Quantitative Geography"</f>
        <v>Quantitative Geography</v>
      </c>
      <c r="B3543" t="str">
        <f>"9781446296530"</f>
        <v>9781446296530</v>
      </c>
      <c r="C3543">
        <v>48.75</v>
      </c>
      <c r="D3543" t="str">
        <f>"GBP"</f>
        <v>GBP</v>
      </c>
      <c r="E3543" t="str">
        <f>"2016"</f>
        <v>2016</v>
      </c>
      <c r="F3543" t="str">
        <f>"Richard Harris"</f>
        <v>Richard Harris</v>
      </c>
      <c r="G3543" t="str">
        <f>"kowkab"</f>
        <v>kowkab</v>
      </c>
    </row>
    <row r="3544" spans="1:7" x14ac:dyDescent="0.25">
      <c r="A3544" t="str">
        <f>"Quantitative Microbial Risk Assessment,2e"</f>
        <v>Quantitative Microbial Risk Assessment,2e</v>
      </c>
      <c r="B3544" t="str">
        <f>"9781118145296"</f>
        <v>9781118145296</v>
      </c>
      <c r="C3544">
        <v>100.5</v>
      </c>
      <c r="D3544" t="str">
        <f>"USD"</f>
        <v>USD</v>
      </c>
      <c r="E3544" t="str">
        <f>"2014"</f>
        <v>2014</v>
      </c>
      <c r="F3544" t="str">
        <f>"Haas"</f>
        <v>Haas</v>
      </c>
      <c r="G3544" t="str">
        <f>"avanddanesh"</f>
        <v>avanddanesh</v>
      </c>
    </row>
    <row r="3545" spans="1:7" x14ac:dyDescent="0.25">
      <c r="A3545" t="str">
        <f>"Quantitative Techniques in Participatory Forest Management"</f>
        <v>Quantitative Techniques in Participatory Forest Management</v>
      </c>
      <c r="B3545" t="str">
        <f>"9781466569249"</f>
        <v>9781466569249</v>
      </c>
      <c r="C3545">
        <v>98.4</v>
      </c>
      <c r="D3545" t="str">
        <f>"GBP"</f>
        <v>GBP</v>
      </c>
      <c r="E3545" t="str">
        <f>"2014"</f>
        <v>2014</v>
      </c>
      <c r="F3545" t="str">
        <f>"Antonio D. Garcia-A"</f>
        <v>Antonio D. Garcia-A</v>
      </c>
      <c r="G3545" t="str">
        <f>"AsarBartar"</f>
        <v>AsarBartar</v>
      </c>
    </row>
    <row r="3546" spans="1:7" x14ac:dyDescent="0.25">
      <c r="A3546" t="str">
        <f>"Quaternary of the Levant : Environments, Climate Change, and Humans"</f>
        <v>Quaternary of the Levant : Environments, Climate Change, and Humans</v>
      </c>
      <c r="B3546" t="str">
        <f>"9781107090460"</f>
        <v>9781107090460</v>
      </c>
      <c r="C3546">
        <v>93.5</v>
      </c>
      <c r="D3546" t="str">
        <f>"GBP"</f>
        <v>GBP</v>
      </c>
      <c r="E3546" t="str">
        <f>"2017"</f>
        <v>2017</v>
      </c>
      <c r="F3546" t="str">
        <f>"Enzel"</f>
        <v>Enzel</v>
      </c>
      <c r="G3546" t="str">
        <f>"arzinbooks"</f>
        <v>arzinbooks</v>
      </c>
    </row>
    <row r="3547" spans="1:7" x14ac:dyDescent="0.25">
      <c r="A3547" t="str">
        <f>"Radiation Safety: Management and Programs"</f>
        <v>Radiation Safety: Management and Programs</v>
      </c>
      <c r="B3547" t="str">
        <f>"9783319426693"</f>
        <v>9783319426693</v>
      </c>
      <c r="C3547">
        <v>134.99</v>
      </c>
      <c r="D3547" t="str">
        <f>"EUR"</f>
        <v>EUR</v>
      </c>
      <c r="E3547" t="str">
        <f>"2017"</f>
        <v>2017</v>
      </c>
      <c r="F3547" t="str">
        <f>"Domenech"</f>
        <v>Domenech</v>
      </c>
      <c r="G3547" t="str">
        <f>"negarestanabi"</f>
        <v>negarestanabi</v>
      </c>
    </row>
    <row r="3548" spans="1:7" x14ac:dyDescent="0.25">
      <c r="A3548" t="str">
        <f>"Radiative Transfer in Coupled Environmental Systems: An Introduction to Forward and Inverse Modeling"</f>
        <v>Radiative Transfer in Coupled Environmental Systems: An Introduction to Forward and Inverse Modeling</v>
      </c>
      <c r="B3548" t="str">
        <f>"9783527411382"</f>
        <v>9783527411382</v>
      </c>
      <c r="C3548">
        <v>140</v>
      </c>
      <c r="D3548" t="str">
        <f>"USD"</f>
        <v>USD</v>
      </c>
      <c r="E3548" t="str">
        <f>"2015"</f>
        <v>2015</v>
      </c>
      <c r="F3548" t="str">
        <f>"Stamnes"</f>
        <v>Stamnes</v>
      </c>
      <c r="G3548" t="str">
        <f>"avanddanesh"</f>
        <v>avanddanesh</v>
      </c>
    </row>
    <row r="3549" spans="1:7" x14ac:dyDescent="0.25">
      <c r="A3549" t="str">
        <f>"Radionuclide Behaviour in the Natural Environment, Science, Implications and Lessons for the Nuclear industry"</f>
        <v>Radionuclide Behaviour in the Natural Environment, Science, Implications and Lessons for the Nuclear industry</v>
      </c>
      <c r="B3549" t="str">
        <f>"9780081016190"</f>
        <v>9780081016190</v>
      </c>
      <c r="C3549">
        <v>274.5</v>
      </c>
      <c r="D3549" t="str">
        <f>"USD"</f>
        <v>USD</v>
      </c>
      <c r="E3549" t="str">
        <f>"2017"</f>
        <v>2017</v>
      </c>
      <c r="F3549" t="str">
        <f>"Poinssot and Geckeis"</f>
        <v>Poinssot and Geckeis</v>
      </c>
      <c r="G3549" t="str">
        <f>"dehkadehketab"</f>
        <v>dehkadehketab</v>
      </c>
    </row>
    <row r="3550" spans="1:7" x14ac:dyDescent="0.25">
      <c r="A3550" t="str">
        <f>"Radionuclides in the Environment"</f>
        <v>Radionuclides in the Environment</v>
      </c>
      <c r="B3550" t="str">
        <f>"9780470714348"</f>
        <v>9780470714348</v>
      </c>
      <c r="C3550">
        <v>80</v>
      </c>
      <c r="D3550" t="str">
        <f>"USD"</f>
        <v>USD</v>
      </c>
      <c r="E3550" t="str">
        <f>"2010"</f>
        <v>2010</v>
      </c>
      <c r="F3550" t="str">
        <f>"Atwood"</f>
        <v>Atwood</v>
      </c>
      <c r="G3550" t="str">
        <f>"avanddanesh"</f>
        <v>avanddanesh</v>
      </c>
    </row>
    <row r="3551" spans="1:7" x14ac:dyDescent="0.25">
      <c r="A3551" t="str">
        <f>"RAPID BIOASSESSMENT OF STREAM HEALTH"</f>
        <v>RAPID BIOASSESSMENT OF STREAM HEALTH</v>
      </c>
      <c r="B3551" t="str">
        <f>"9781420090918"</f>
        <v>9781420090918</v>
      </c>
      <c r="C3551">
        <v>24.6</v>
      </c>
      <c r="D3551" t="str">
        <f>"GBP"</f>
        <v>GBP</v>
      </c>
      <c r="E3551" t="str">
        <f>"2010"</f>
        <v>2010</v>
      </c>
      <c r="F3551" t="str">
        <f>"DUNCAN L. HUGHES, J"</f>
        <v>DUNCAN L. HUGHES, J</v>
      </c>
      <c r="G3551" t="str">
        <f>"AsarBartar"</f>
        <v>AsarBartar</v>
      </c>
    </row>
    <row r="3552" spans="1:7" x14ac:dyDescent="0.25">
      <c r="A3552" t="str">
        <f>"Rare Earths Industry, Technological, Economic, And"</f>
        <v>Rare Earths Industry, Technological, Economic, And</v>
      </c>
      <c r="B3552" t="str">
        <f>"9780128023280"</f>
        <v>9780128023280</v>
      </c>
      <c r="C3552">
        <v>135</v>
      </c>
      <c r="D3552" t="str">
        <f>"USD"</f>
        <v>USD</v>
      </c>
      <c r="E3552" t="str">
        <f>"2015"</f>
        <v>2015</v>
      </c>
      <c r="F3552" t="str">
        <f>"N/A*"</f>
        <v>N/A*</v>
      </c>
      <c r="G3552" t="str">
        <f>"dehkadehketab"</f>
        <v>dehkadehketab</v>
      </c>
    </row>
    <row r="3553" spans="1:7" x14ac:dyDescent="0.25">
      <c r="A3553" t="str">
        <f>"Reaction Mechanisms in Environmental Engineering, Analysis and Prediction"</f>
        <v>Reaction Mechanisms in Environmental Engineering, Analysis and Prediction</v>
      </c>
      <c r="B3553" t="str">
        <f>"9780128044025"</f>
        <v>9780128044025</v>
      </c>
      <c r="C3553">
        <v>108</v>
      </c>
      <c r="D3553" t="str">
        <f>"USD"</f>
        <v>USD</v>
      </c>
      <c r="E3553" t="str">
        <f>"2017"</f>
        <v>2017</v>
      </c>
      <c r="F3553" t="str">
        <f>"Speight"</f>
        <v>Speight</v>
      </c>
      <c r="G3553" t="str">
        <f>"dehkadehketab"</f>
        <v>dehkadehketab</v>
      </c>
    </row>
    <row r="3554" spans="1:7" x14ac:dyDescent="0.25">
      <c r="A3554" t="str">
        <f>"Reactions and Mechanisms in Thermal Analysis of Advanced Materials"</f>
        <v>Reactions and Mechanisms in Thermal Analysis of Advanced Materials</v>
      </c>
      <c r="B3554" t="str">
        <f>"9781119117575"</f>
        <v>9781119117575</v>
      </c>
      <c r="C3554">
        <v>180</v>
      </c>
      <c r="D3554" t="str">
        <f>"USD"</f>
        <v>USD</v>
      </c>
      <c r="E3554" t="str">
        <f>"2015"</f>
        <v>2015</v>
      </c>
      <c r="F3554" t="str">
        <f>"Tiwari"</f>
        <v>Tiwari</v>
      </c>
      <c r="G3554" t="str">
        <f>"avanddanesh"</f>
        <v>avanddanesh</v>
      </c>
    </row>
    <row r="3555" spans="1:7" x14ac:dyDescent="0.25">
      <c r="A3555" t="str">
        <f>"Reactive Oxygen Species: Signaling Between Hierarchical Levels in Plants"</f>
        <v>Reactive Oxygen Species: Signaling Between Hierarchical Levels in Plants</v>
      </c>
      <c r="B3555" t="str">
        <f>"9781119184881"</f>
        <v>9781119184881</v>
      </c>
      <c r="C3555">
        <v>175.5</v>
      </c>
      <c r="D3555" t="str">
        <f>"USD"</f>
        <v>USD</v>
      </c>
      <c r="E3555" t="str">
        <f>"2017"</f>
        <v>2017</v>
      </c>
      <c r="F3555" t="str">
        <f>"Schmitt"</f>
        <v>Schmitt</v>
      </c>
      <c r="G3555" t="str">
        <f>"avanddanesh"</f>
        <v>avanddanesh</v>
      </c>
    </row>
    <row r="3556" spans="1:7" x14ac:dyDescent="0.25">
      <c r="A3556" t="str">
        <f>"Recent Climate Change Impacts on Mountain Glaciers"</f>
        <v>Recent Climate Change Impacts on Mountain Glaciers</v>
      </c>
      <c r="B3556" t="str">
        <f>"9781119068112"</f>
        <v>9781119068112</v>
      </c>
      <c r="C3556">
        <v>99</v>
      </c>
      <c r="D3556" t="str">
        <f>"USD"</f>
        <v>USD</v>
      </c>
      <c r="E3556" t="str">
        <f>"2017"</f>
        <v>2017</v>
      </c>
      <c r="F3556" t="str">
        <f>"Pelto"</f>
        <v>Pelto</v>
      </c>
      <c r="G3556" t="str">
        <f>"avanddanesh"</f>
        <v>avanddanesh</v>
      </c>
    </row>
    <row r="3557" spans="1:7" x14ac:dyDescent="0.25">
      <c r="A3557" t="str">
        <f>"Recent Progress in Desalination. Environmental and Marine Outfall Systems"</f>
        <v>Recent Progress in Desalination. Environmental and Marine Outfall Systems</v>
      </c>
      <c r="B3557" t="str">
        <f>"9783319191225"</f>
        <v>9783319191225</v>
      </c>
      <c r="C3557">
        <v>125.99</v>
      </c>
      <c r="D3557" t="str">
        <f>"EUR"</f>
        <v>EUR</v>
      </c>
      <c r="E3557" t="str">
        <f>"2015"</f>
        <v>2015</v>
      </c>
      <c r="F3557" t="str">
        <f>"Baawain"</f>
        <v>Baawain</v>
      </c>
      <c r="G3557" t="str">
        <f>"negarestanabi"</f>
        <v>negarestanabi</v>
      </c>
    </row>
    <row r="3558" spans="1:7" x14ac:dyDescent="0.25">
      <c r="A3558" t="str">
        <f>"Recommendations Shallow Geothermal Energy: Design, Construction, Operation and Monitoring"</f>
        <v>Recommendations Shallow Geothermal Energy: Design, Construction, Operation and Monitoring</v>
      </c>
      <c r="B3558" t="str">
        <f>"9783433031407"</f>
        <v>9783433031407</v>
      </c>
      <c r="C3558">
        <v>114.8</v>
      </c>
      <c r="D3558" t="str">
        <f>"USD"</f>
        <v>USD</v>
      </c>
      <c r="E3558" t="str">
        <f>"2016"</f>
        <v>2016</v>
      </c>
      <c r="F3558" t="str">
        <f>"G.G.S"</f>
        <v>G.G.S</v>
      </c>
      <c r="G3558" t="str">
        <f>"avanddanesh"</f>
        <v>avanddanesh</v>
      </c>
    </row>
    <row r="3559" spans="1:7" x14ac:dyDescent="0.25">
      <c r="A3559" t="str">
        <f>"RECONCILING HUMAN EXISTENCE WITH ECOLOGICAL INTEGRITY:"</f>
        <v>RECONCILING HUMAN EXISTENCE WITH ECOLOGICAL INTEGRITY:</v>
      </c>
      <c r="B3559" t="str">
        <f>"9781844075652"</f>
        <v>9781844075652</v>
      </c>
      <c r="C3559">
        <v>19.5</v>
      </c>
      <c r="D3559" t="str">
        <f>"GBP"</f>
        <v>GBP</v>
      </c>
      <c r="E3559" t="str">
        <f>"2008"</f>
        <v>2008</v>
      </c>
      <c r="F3559" t="str">
        <f>"LAURA WESTRA"</f>
        <v>LAURA WESTRA</v>
      </c>
      <c r="G3559" t="str">
        <f>"AsarBartar"</f>
        <v>AsarBartar</v>
      </c>
    </row>
    <row r="3560" spans="1:7" x14ac:dyDescent="0.25">
      <c r="A3560" t="str">
        <f>"Reconsidering the Impact of Climate Change on Global Water Supply, Use, and Management"</f>
        <v>Reconsidering the Impact of Climate Change on Global Water Supply, Use, and Management</v>
      </c>
      <c r="B3560" t="str">
        <f>"9781522510468"</f>
        <v>9781522510468</v>
      </c>
      <c r="C3560">
        <v>161.30000000000001</v>
      </c>
      <c r="D3560" t="str">
        <f>"USD"</f>
        <v>USD</v>
      </c>
      <c r="E3560" t="str">
        <f>"2017"</f>
        <v>2017</v>
      </c>
      <c r="F3560" t="str">
        <f>"Prakash Rao"</f>
        <v>Prakash Rao</v>
      </c>
      <c r="G3560" t="str">
        <f>"arzinbooks"</f>
        <v>arzinbooks</v>
      </c>
    </row>
    <row r="3561" spans="1:7" x14ac:dyDescent="0.25">
      <c r="A3561" t="str">
        <f>"Reconstructing Earth's Climate History: Inquiry-based Exercises for Lab and Class"</f>
        <v>Reconstructing Earth's Climate History: Inquiry-based Exercises for Lab and Class</v>
      </c>
      <c r="B3561" t="str">
        <f>"9780470658055"</f>
        <v>9780470658055</v>
      </c>
      <c r="C3561">
        <v>93</v>
      </c>
      <c r="D3561" t="str">
        <f>"USD"</f>
        <v>USD</v>
      </c>
      <c r="E3561" t="str">
        <f>"2012"</f>
        <v>2012</v>
      </c>
      <c r="F3561" t="str">
        <f>"St John"</f>
        <v>St John</v>
      </c>
      <c r="G3561" t="str">
        <f>"avanddanesh"</f>
        <v>avanddanesh</v>
      </c>
    </row>
    <row r="3562" spans="1:7" x14ac:dyDescent="0.25">
      <c r="A3562" t="str">
        <f>"Recovery from Disaster"</f>
        <v>Recovery from Disaster</v>
      </c>
      <c r="B3562" t="str">
        <f>"9780415611770"</f>
        <v>9780415611770</v>
      </c>
      <c r="C3562">
        <v>28.05</v>
      </c>
      <c r="D3562" t="str">
        <f>"GBP"</f>
        <v>GBP</v>
      </c>
      <c r="E3562" t="str">
        <f>"2016"</f>
        <v>2016</v>
      </c>
      <c r="F3562" t="str">
        <f>"Ian Davis,David Ale"</f>
        <v>Ian Davis,David Ale</v>
      </c>
      <c r="G3562" t="str">
        <f>"AsarBartar"</f>
        <v>AsarBartar</v>
      </c>
    </row>
    <row r="3563" spans="1:7" x14ac:dyDescent="0.25">
      <c r="A3563" t="str">
        <f>"RECURSIVE STREAMFLOW FORECASTING"</f>
        <v>RECURSIVE STREAMFLOW FORECASTING</v>
      </c>
      <c r="B3563" t="str">
        <f>"9780415569019"</f>
        <v>9780415569019</v>
      </c>
      <c r="C3563">
        <v>14.99</v>
      </c>
      <c r="D3563" t="str">
        <f>"GBP"</f>
        <v>GBP</v>
      </c>
      <c r="E3563" t="str">
        <f>"2010"</f>
        <v>2010</v>
      </c>
      <c r="F3563" t="str">
        <f>"SZILAGYI, JOZSEF |"</f>
        <v>SZILAGYI, JOZSEF |</v>
      </c>
      <c r="G3563" t="str">
        <f>"AsarBartar"</f>
        <v>AsarBartar</v>
      </c>
    </row>
    <row r="3564" spans="1:7" x14ac:dyDescent="0.25">
      <c r="A3564" t="str">
        <f>"Recycling of Polymers: Methods, Characterization and Applications"</f>
        <v>Recycling of Polymers: Methods, Characterization and Applications</v>
      </c>
      <c r="B3564" t="str">
        <f>"9783527338481"</f>
        <v>9783527338481</v>
      </c>
      <c r="C3564">
        <v>174.3</v>
      </c>
      <c r="D3564" t="str">
        <f>"USD"</f>
        <v>USD</v>
      </c>
      <c r="E3564" t="str">
        <f>"2016"</f>
        <v>2016</v>
      </c>
      <c r="F3564" t="str">
        <f>"Francis"</f>
        <v>Francis</v>
      </c>
      <c r="G3564" t="str">
        <f>"avanddanesh"</f>
        <v>avanddanesh</v>
      </c>
    </row>
    <row r="3565" spans="1:7" x14ac:dyDescent="0.25">
      <c r="A3565" t="str">
        <f>"Regulation of Peace River: A Case Study for River Management"</f>
        <v>Regulation of Peace River: A Case Study for River Management</v>
      </c>
      <c r="B3565" t="str">
        <f>"9781118906149"</f>
        <v>9781118906149</v>
      </c>
      <c r="C3565">
        <v>93.8</v>
      </c>
      <c r="D3565" t="str">
        <f>"USD"</f>
        <v>USD</v>
      </c>
      <c r="E3565" t="str">
        <f>"2014"</f>
        <v>2014</v>
      </c>
      <c r="F3565" t="str">
        <f>"Church"</f>
        <v>Church</v>
      </c>
      <c r="G3565" t="str">
        <f>"avanddanesh"</f>
        <v>avanddanesh</v>
      </c>
    </row>
    <row r="3566" spans="1:7" x14ac:dyDescent="0.25">
      <c r="A3566" t="str">
        <f>"Reintroduction Biology: Integrating Science and Management"</f>
        <v>Reintroduction Biology: Integrating Science and Management</v>
      </c>
      <c r="B3566" t="str">
        <f>"9781405186742"</f>
        <v>9781405186742</v>
      </c>
      <c r="C3566">
        <v>42</v>
      </c>
      <c r="D3566" t="str">
        <f>"USD"</f>
        <v>USD</v>
      </c>
      <c r="E3566" t="str">
        <f>"2012"</f>
        <v>2012</v>
      </c>
      <c r="F3566" t="str">
        <f>"Ewen"</f>
        <v>Ewen</v>
      </c>
      <c r="G3566" t="str">
        <f>"avanddanesh"</f>
        <v>avanddanesh</v>
      </c>
    </row>
    <row r="3567" spans="1:7" x14ac:dyDescent="0.25">
      <c r="A3567" t="str">
        <f>"Remanufactured Fashion"</f>
        <v>Remanufactured Fashion</v>
      </c>
      <c r="B3567" t="str">
        <f>"9789811002953"</f>
        <v>9789811002953</v>
      </c>
      <c r="C3567">
        <v>80.989999999999995</v>
      </c>
      <c r="D3567" t="str">
        <f>"EUR"</f>
        <v>EUR</v>
      </c>
      <c r="E3567" t="str">
        <f>"2016"</f>
        <v>2016</v>
      </c>
      <c r="F3567" t="str">
        <f>"Sinha"</f>
        <v>Sinha</v>
      </c>
      <c r="G3567" t="str">
        <f>"negarestanabi"</f>
        <v>negarestanabi</v>
      </c>
    </row>
    <row r="3568" spans="1:7" x14ac:dyDescent="0.25">
      <c r="A3568" t="str">
        <f>"Remediation Engineering: Design Concepts, Second Edition"</f>
        <v>Remediation Engineering: Design Concepts, Second Edition</v>
      </c>
      <c r="B3568" t="str">
        <f>"9781498773270"</f>
        <v>9781498773270</v>
      </c>
      <c r="C3568">
        <v>97.2</v>
      </c>
      <c r="D3568" t="str">
        <f>"GBP"</f>
        <v>GBP</v>
      </c>
      <c r="E3568" t="str">
        <f>"2017"</f>
        <v>2017</v>
      </c>
      <c r="F3568" t="str">
        <f>"Suthan S. Suthersan"</f>
        <v>Suthan S. Suthersan</v>
      </c>
      <c r="G3568" t="str">
        <f>"AsarBartar"</f>
        <v>AsarBartar</v>
      </c>
    </row>
    <row r="3569" spans="1:7" x14ac:dyDescent="0.25">
      <c r="A3569" t="str">
        <f>"Remote Sensing Handbook - Three Volume Set: Land Resources Monitoring, Modeling, and Mapping with Remote Sensing"</f>
        <v>Remote Sensing Handbook - Three Volume Set: Land Resources Monitoring, Modeling, and Mapping with Remote Sensing</v>
      </c>
      <c r="B3569" t="str">
        <f>"9781482217957"</f>
        <v>9781482217957</v>
      </c>
      <c r="C3569">
        <v>132.6</v>
      </c>
      <c r="D3569" t="str">
        <f>"GBP"</f>
        <v>GBP</v>
      </c>
      <c r="E3569" t="str">
        <f>"2016"</f>
        <v>2016</v>
      </c>
      <c r="F3569" t="str">
        <f>"PRASAD S. THENKABAI"</f>
        <v>PRASAD S. THENKABAI</v>
      </c>
      <c r="G3569" t="str">
        <f>"AsarBartar"</f>
        <v>AsarBartar</v>
      </c>
    </row>
    <row r="3570" spans="1:7" x14ac:dyDescent="0.25">
      <c r="A3570" t="str">
        <f>"Remote Sensing of Aerosols, Clouds, and Precipitation"</f>
        <v>Remote Sensing of Aerosols, Clouds, and Precipitation</v>
      </c>
      <c r="B3570" t="str">
        <f>"9780128104378"</f>
        <v>9780128104378</v>
      </c>
      <c r="C3570">
        <v>108</v>
      </c>
      <c r="D3570" t="str">
        <f>"USD"</f>
        <v>USD</v>
      </c>
      <c r="E3570" t="str">
        <f>"2017"</f>
        <v>2017</v>
      </c>
      <c r="F3570" t="str">
        <f>"Islam et al"</f>
        <v>Islam et al</v>
      </c>
      <c r="G3570" t="str">
        <f>"arang"</f>
        <v>arang</v>
      </c>
    </row>
    <row r="3571" spans="1:7" x14ac:dyDescent="0.25">
      <c r="A3571" t="str">
        <f>"Remote Sensing of Soils"</f>
        <v>Remote Sensing of Soils</v>
      </c>
      <c r="B3571" t="str">
        <f>"9783662537381"</f>
        <v>9783662537381</v>
      </c>
      <c r="C3571">
        <v>134.99</v>
      </c>
      <c r="D3571" t="str">
        <f>"EUR"</f>
        <v>EUR</v>
      </c>
      <c r="E3571" t="str">
        <f>"2017"</f>
        <v>2017</v>
      </c>
      <c r="F3571" t="str">
        <f>"Dwivedi "</f>
        <v xml:space="preserve">Dwivedi </v>
      </c>
      <c r="G3571" t="str">
        <f>"negarestanabi"</f>
        <v>negarestanabi</v>
      </c>
    </row>
    <row r="3572" spans="1:7" x14ac:dyDescent="0.25">
      <c r="A3572" t="str">
        <f>"Remote Sensing of the Cryosphere"</f>
        <v>Remote Sensing of the Cryosphere</v>
      </c>
      <c r="B3572" t="str">
        <f>"9781118368855"</f>
        <v>9781118368855</v>
      </c>
      <c r="C3572">
        <v>76</v>
      </c>
      <c r="D3572" t="str">
        <f>"USD"</f>
        <v>USD</v>
      </c>
      <c r="E3572" t="str">
        <f>"2015"</f>
        <v>2015</v>
      </c>
      <c r="F3572" t="str">
        <f>"Tedesco"</f>
        <v>Tedesco</v>
      </c>
      <c r="G3572" t="str">
        <f>"avanddanesh"</f>
        <v>avanddanesh</v>
      </c>
    </row>
    <row r="3573" spans="1:7" x14ac:dyDescent="0.25">
      <c r="A3573" t="str">
        <f>"Renewable and Alternative Energy: Concepts, Methodologies, Tools, and Applications ; 3 Volumes Set"</f>
        <v>Renewable and Alternative Energy: Concepts, Methodologies, Tools, and Applications ; 3 Volumes Set</v>
      </c>
      <c r="B3573" t="str">
        <f>"9781522516712"</f>
        <v>9781522516712</v>
      </c>
      <c r="C3573">
        <v>1460</v>
      </c>
      <c r="D3573" t="str">
        <f>"USD"</f>
        <v>USD</v>
      </c>
      <c r="E3573" t="str">
        <f>"2017"</f>
        <v>2017</v>
      </c>
      <c r="F3573" t="str">
        <f>"Information Resource"</f>
        <v>Information Resource</v>
      </c>
      <c r="G3573" t="str">
        <f>"arzinbooks"</f>
        <v>arzinbooks</v>
      </c>
    </row>
    <row r="3574" spans="1:7" x14ac:dyDescent="0.25">
      <c r="A3574" t="str">
        <f>"Renewable Energy Powered Desalination Handbook, Application and Thermodynamics"</f>
        <v>Renewable Energy Powered Desalination Handbook, Application and Thermodynamics</v>
      </c>
      <c r="B3574" t="str">
        <f>"9780128152171"</f>
        <v>9780128152171</v>
      </c>
      <c r="C3574">
        <v>180</v>
      </c>
      <c r="D3574" t="str">
        <f>"USD"</f>
        <v>USD</v>
      </c>
      <c r="E3574" t="str">
        <f>"2018"</f>
        <v>2018</v>
      </c>
      <c r="F3574" t="str">
        <f>"Gude"</f>
        <v>Gude</v>
      </c>
      <c r="G3574" t="str">
        <f>"dehkadehketab"</f>
        <v>dehkadehketab</v>
      </c>
    </row>
    <row r="3575" spans="1:7" x14ac:dyDescent="0.25">
      <c r="A3575" t="str">
        <f>"Renewable Energy Resources"</f>
        <v>Renewable Energy Resources</v>
      </c>
      <c r="B3575" t="str">
        <f>"9780415584388"</f>
        <v>9780415584388</v>
      </c>
      <c r="C3575">
        <v>39.1</v>
      </c>
      <c r="D3575" t="str">
        <f>"GBP"</f>
        <v>GBP</v>
      </c>
      <c r="E3575" t="str">
        <f>"2015"</f>
        <v>2015</v>
      </c>
      <c r="F3575" t="str">
        <f>"Tony Weir"</f>
        <v>Tony Weir</v>
      </c>
      <c r="G3575" t="str">
        <f>"AsarBartar"</f>
        <v>AsarBartar</v>
      </c>
    </row>
    <row r="3576" spans="1:7" x14ac:dyDescent="0.25">
      <c r="A3576" t="str">
        <f>"Renewable Energy Technologies for Water Desalination (Sustainable Water Developments - Resources, Management, Treatment, Efficiency and Reuse)"</f>
        <v>Renewable Energy Technologies for Water Desalination (Sustainable Water Developments - Resources, Management, Treatment, Efficiency and Reuse)</v>
      </c>
      <c r="B3576" t="str">
        <f>"9781138029170"</f>
        <v>9781138029170</v>
      </c>
      <c r="C3576">
        <v>117</v>
      </c>
      <c r="D3576" t="str">
        <f>"GBP"</f>
        <v>GBP</v>
      </c>
      <c r="E3576" t="str">
        <f>"2017"</f>
        <v>2017</v>
      </c>
      <c r="F3576" t="str">
        <f>"Mahmoudi"</f>
        <v>Mahmoudi</v>
      </c>
      <c r="G3576" t="str">
        <f>"sal"</f>
        <v>sal</v>
      </c>
    </row>
    <row r="3577" spans="1:7" x14ac:dyDescent="0.25">
      <c r="A3577" t="str">
        <f>"Renewable Energy Transformation or Fossil Fuel Backlash: Vested Interests in the Political Economy"</f>
        <v>Renewable Energy Transformation or Fossil Fuel Backlash: Vested Interests in the Political Economy</v>
      </c>
      <c r="B3577" t="str">
        <f>"9781137298782"</f>
        <v>9781137298782</v>
      </c>
      <c r="C3577">
        <v>54</v>
      </c>
      <c r="D3577" t="str">
        <f>"EUR"</f>
        <v>EUR</v>
      </c>
      <c r="E3577" t="str">
        <f>"2015"</f>
        <v>2015</v>
      </c>
      <c r="F3577" t="str">
        <f>"Moe, Espen"</f>
        <v>Moe, Espen</v>
      </c>
      <c r="G3577" t="str">
        <f>"arzinbooks"</f>
        <v>arzinbooks</v>
      </c>
    </row>
    <row r="3578" spans="1:7" x14ac:dyDescent="0.25">
      <c r="A3578" t="str">
        <f>"Renewable Gas: The Transition to Low Carbon Energy Fuels"</f>
        <v>Renewable Gas: The Transition to Low Carbon Energy Fuels</v>
      </c>
      <c r="B3578" t="str">
        <f>"9781137441799"</f>
        <v>9781137441799</v>
      </c>
      <c r="C3578">
        <v>107.99</v>
      </c>
      <c r="D3578" t="str">
        <f>"EUR"</f>
        <v>EUR</v>
      </c>
      <c r="E3578" t="str">
        <f>"2015"</f>
        <v>2015</v>
      </c>
      <c r="F3578" t="str">
        <f>"Abbess"</f>
        <v>Abbess</v>
      </c>
      <c r="G3578" t="str">
        <f>"negarestanabi"</f>
        <v>negarestanabi</v>
      </c>
    </row>
    <row r="3579" spans="1:7" x14ac:dyDescent="0.25">
      <c r="A3579" t="str">
        <f>"Renewable Resources for Biorefineries"</f>
        <v>Renewable Resources for Biorefineries</v>
      </c>
      <c r="B3579" t="str">
        <f>"9781849738989"</f>
        <v>9781849738989</v>
      </c>
      <c r="C3579">
        <v>66</v>
      </c>
      <c r="D3579" t="str">
        <f>"GBP"</f>
        <v>GBP</v>
      </c>
      <c r="E3579" t="str">
        <f>"2014"</f>
        <v>2014</v>
      </c>
      <c r="F3579" t="str">
        <f>"Carol Lin(Editor)Â Ra"</f>
        <v>Carol Lin(Editor)Â Ra</v>
      </c>
      <c r="G3579" t="str">
        <f>"arzinbooks"</f>
        <v>arzinbooks</v>
      </c>
    </row>
    <row r="3580" spans="1:7" x14ac:dyDescent="0.25">
      <c r="A3580" t="str">
        <f>"REPAIR &amp; REDESIGN OF PHYSIOLOGICAL SYSTEMS, HB"</f>
        <v>REPAIR &amp; REDESIGN OF PHYSIOLOGICAL SYSTEMS, HB</v>
      </c>
      <c r="B3580" t="str">
        <f>"9781845640965"</f>
        <v>9781845640965</v>
      </c>
      <c r="C3580">
        <v>76.3</v>
      </c>
      <c r="D3580" t="str">
        <f>"GBP"</f>
        <v>GBP</v>
      </c>
      <c r="E3580" t="str">
        <f>"2008"</f>
        <v>2008</v>
      </c>
      <c r="F3580" t="str">
        <f>"Atherton"</f>
        <v>Atherton</v>
      </c>
      <c r="G3580" t="str">
        <f>"supply"</f>
        <v>supply</v>
      </c>
    </row>
    <row r="3581" spans="1:7" x14ac:dyDescent="0.25">
      <c r="A3581" t="str">
        <f>"Reservoir Engineering in Modern Oilfields: Vertical, Deviated, Horizontal and Multilateral Well Systems"</f>
        <v>Reservoir Engineering in Modern Oilfields: Vertical, Deviated, Horizontal and Multilateral Well Systems</v>
      </c>
      <c r="B3581" t="str">
        <f>"9781119283782"</f>
        <v>9781119283782</v>
      </c>
      <c r="C3581">
        <v>191.3</v>
      </c>
      <c r="D3581" t="str">
        <f>"USD"</f>
        <v>USD</v>
      </c>
      <c r="E3581" t="str">
        <f>"2016"</f>
        <v>2016</v>
      </c>
      <c r="F3581" t="str">
        <f>"Chin"</f>
        <v>Chin</v>
      </c>
      <c r="G3581" t="str">
        <f>"avanddanesh"</f>
        <v>avanddanesh</v>
      </c>
    </row>
    <row r="3582" spans="1:7" x14ac:dyDescent="0.25">
      <c r="A3582" t="str">
        <f>"Resilience Imperative: Uncertainty, Risks And Disa"</f>
        <v>Resilience Imperative: Uncertainty, Risks And Disa</v>
      </c>
      <c r="B3582" t="str">
        <f>"9781785480515"</f>
        <v>9781785480515</v>
      </c>
      <c r="C3582">
        <v>117</v>
      </c>
      <c r="D3582" t="str">
        <f>"USD"</f>
        <v>USD</v>
      </c>
      <c r="E3582" t="str">
        <f>"2015"</f>
        <v>2015</v>
      </c>
      <c r="F3582" t="str">
        <f>"N/A*"</f>
        <v>N/A*</v>
      </c>
      <c r="G3582" t="str">
        <f>"dehkadehketab"</f>
        <v>dehkadehketab</v>
      </c>
    </row>
    <row r="3583" spans="1:7" x14ac:dyDescent="0.25">
      <c r="A3583" t="str">
        <f>"RESOLVING ENVIRONMENTAL CONFLICT 2E"</f>
        <v>RESOLVING ENVIRONMENTAL CONFLICT 2E</v>
      </c>
      <c r="B3583" t="str">
        <f>"9781439856086"</f>
        <v>9781439856086</v>
      </c>
      <c r="C3583">
        <v>40.200000000000003</v>
      </c>
      <c r="D3583" t="str">
        <f>"GBP"</f>
        <v>GBP</v>
      </c>
      <c r="E3583" t="str">
        <f>"2012"</f>
        <v>2012</v>
      </c>
      <c r="F3583" t="str">
        <f>"MASER"</f>
        <v>MASER</v>
      </c>
      <c r="G3583" t="str">
        <f>"AsarBartar"</f>
        <v>AsarBartar</v>
      </c>
    </row>
    <row r="3584" spans="1:7" x14ac:dyDescent="0.25">
      <c r="A3584" t="str">
        <f>"Resource-Based Habitat View for Conservation: Butterflies in the British Landscape"</f>
        <v>Resource-Based Habitat View for Conservation: Butterflies in the British Landscape</v>
      </c>
      <c r="B3584" t="str">
        <f>"9781405199452"</f>
        <v>9781405199452</v>
      </c>
      <c r="C3584">
        <v>38</v>
      </c>
      <c r="D3584" t="str">
        <f>"USD"</f>
        <v>USD</v>
      </c>
      <c r="E3584" t="str">
        <f>"2010"</f>
        <v>2010</v>
      </c>
      <c r="F3584" t="str">
        <f>"Dennis"</f>
        <v>Dennis</v>
      </c>
      <c r="G3584" t="str">
        <f>"avanddanesh"</f>
        <v>avanddanesh</v>
      </c>
    </row>
    <row r="3585" spans="1:7" x14ac:dyDescent="0.25">
      <c r="A3585" t="str">
        <f>"Resource-Based Habitat View for Conservation:Butterflies in the British Landscape"</f>
        <v>Resource-Based Habitat View for Conservation:Butterflies in the British Landscape</v>
      </c>
      <c r="B3585" t="str">
        <f>"9781405199452"</f>
        <v>9781405199452</v>
      </c>
      <c r="C3585">
        <v>38</v>
      </c>
      <c r="D3585" t="str">
        <f>"USD"</f>
        <v>USD</v>
      </c>
      <c r="E3585" t="str">
        <f>"2010"</f>
        <v>2010</v>
      </c>
      <c r="F3585" t="str">
        <f>"Dennis"</f>
        <v>Dennis</v>
      </c>
      <c r="G3585" t="str">
        <f>"safirketab"</f>
        <v>safirketab</v>
      </c>
    </row>
    <row r="3586" spans="1:7" x14ac:dyDescent="0.25">
      <c r="A3586" t="str">
        <f>"Restoration Ecology"</f>
        <v>Restoration Ecology</v>
      </c>
      <c r="B3586" t="str">
        <f>"9780763742195"</f>
        <v>9780763742195</v>
      </c>
      <c r="C3586">
        <v>23.5</v>
      </c>
      <c r="D3586" t="str">
        <f>"USD"</f>
        <v>USD</v>
      </c>
      <c r="E3586" t="str">
        <f>"2012"</f>
        <v>2012</v>
      </c>
      <c r="F3586" t="str">
        <f>"Greipsson"</f>
        <v>Greipsson</v>
      </c>
      <c r="G3586" t="str">
        <f>"kowkab"</f>
        <v>kowkab</v>
      </c>
    </row>
    <row r="3587" spans="1:7" x14ac:dyDescent="0.25">
      <c r="A3587" t="str">
        <f>"Restoration Ecology: The New Frontier,2e"</f>
        <v>Restoration Ecology: The New Frontier,2e</v>
      </c>
      <c r="B3587" t="str">
        <f>"9781444336368"</f>
        <v>9781444336368</v>
      </c>
      <c r="C3587">
        <v>39</v>
      </c>
      <c r="D3587" t="str">
        <f>"USD"</f>
        <v>USD</v>
      </c>
      <c r="E3587" t="str">
        <f>"2012"</f>
        <v>2012</v>
      </c>
      <c r="F3587" t="str">
        <f>"van Andel"</f>
        <v>van Andel</v>
      </c>
      <c r="G3587" t="str">
        <f>"avanddanesh"</f>
        <v>avanddanesh</v>
      </c>
    </row>
    <row r="3588" spans="1:7" x14ac:dyDescent="0.25">
      <c r="A3588" t="str">
        <f>"RESTORATIVE REDEVELOPMENT OF DEVASTATED ECOCULTURAL LAN"</f>
        <v>RESTORATIVE REDEVELOPMENT OF DEVASTATED ECOCULTURAL LAN</v>
      </c>
      <c r="B3588" t="str">
        <f>"9780415952255"</f>
        <v>9780415952255</v>
      </c>
      <c r="C3588">
        <v>23.09</v>
      </c>
      <c r="D3588" t="str">
        <f>"GBP"</f>
        <v>GBP</v>
      </c>
      <c r="E3588" t="str">
        <f>"2011"</f>
        <v>2011</v>
      </c>
      <c r="F3588" t="str">
        <f>"FRANCE ROBERT(EDITO"</f>
        <v>FRANCE ROBERT(EDITO</v>
      </c>
      <c r="G3588" t="str">
        <f>"AsarBartar"</f>
        <v>AsarBartar</v>
      </c>
    </row>
    <row r="3589" spans="1:7" x14ac:dyDescent="0.25">
      <c r="A3589" t="str">
        <f>"Rethinking the Environmental Impacts of Renewable Energy: Mitigation and management"</f>
        <v>Rethinking the Environmental Impacts of Renewable Energy: Mitigation and management</v>
      </c>
      <c r="B3589" t="str">
        <f>"9780415722186"</f>
        <v>9780415722186</v>
      </c>
      <c r="C3589">
        <v>31.45</v>
      </c>
      <c r="D3589" t="str">
        <f>"GBP"</f>
        <v>GBP</v>
      </c>
      <c r="E3589" t="str">
        <f>"2016"</f>
        <v>2016</v>
      </c>
      <c r="F3589" t="str">
        <f>"Alexander Clarke"</f>
        <v>Alexander Clarke</v>
      </c>
      <c r="G3589" t="str">
        <f>"AsarBartar"</f>
        <v>AsarBartar</v>
      </c>
    </row>
    <row r="3590" spans="1:7" x14ac:dyDescent="0.25">
      <c r="A3590" t="str">
        <f>"RE-THINKING WATER AND FOOD SECURITY"</f>
        <v>RE-THINKING WATER AND FOOD SECURITY</v>
      </c>
      <c r="B3590" t="str">
        <f>"9780415587907"</f>
        <v>9780415587907</v>
      </c>
      <c r="C3590">
        <v>24.29</v>
      </c>
      <c r="D3590" t="str">
        <f>"GBP"</f>
        <v>GBP</v>
      </c>
      <c r="E3590" t="str">
        <f>"2010"</f>
        <v>2010</v>
      </c>
      <c r="F3590" t="str">
        <f>"MARTINEZ-CORTINA"</f>
        <v>MARTINEZ-CORTINA</v>
      </c>
      <c r="G3590" t="str">
        <f>"AsarBartar"</f>
        <v>AsarBartar</v>
      </c>
    </row>
    <row r="3591" spans="1:7" x14ac:dyDescent="0.25">
      <c r="A3591" t="str">
        <f>"Reverse Osmosis: Design, Processes, and Applications for Engineers,2e"</f>
        <v>Reverse Osmosis: Design, Processes, and Applications for Engineers,2e</v>
      </c>
      <c r="B3591" t="str">
        <f>"9781118639740"</f>
        <v>9781118639740</v>
      </c>
      <c r="C3591">
        <v>156</v>
      </c>
      <c r="D3591" t="str">
        <f>"USD"</f>
        <v>USD</v>
      </c>
      <c r="E3591" t="str">
        <f>"2015"</f>
        <v>2015</v>
      </c>
      <c r="F3591" t="str">
        <f>"Kucera"</f>
        <v>Kucera</v>
      </c>
      <c r="G3591" t="str">
        <f>"avanddanesh"</f>
        <v>avanddanesh</v>
      </c>
    </row>
    <row r="3592" spans="1:7" x14ac:dyDescent="0.25">
      <c r="A3592" t="str">
        <f>"Rewas 2008 Conference Proceedings, Global Symposium On Recycling, Waste Treatment And Clean Technology"</f>
        <v>Rewas 2008 Conference Proceedings, Global Symposium On Recycling, Waste Treatment And Clean Technology</v>
      </c>
      <c r="B3592" t="str">
        <f>"9780873397261"</f>
        <v>9780873397261</v>
      </c>
      <c r="C3592">
        <v>70</v>
      </c>
      <c r="D3592" t="str">
        <f>"USD"</f>
        <v>USD</v>
      </c>
      <c r="E3592" t="str">
        <f>"2008"</f>
        <v>2008</v>
      </c>
      <c r="F3592" t="str">
        <f>"Mishra"</f>
        <v>Mishra</v>
      </c>
      <c r="G3592" t="str">
        <f>"supply"</f>
        <v>supply</v>
      </c>
    </row>
    <row r="3593" spans="1:7" x14ac:dyDescent="0.25">
      <c r="A3593" t="str">
        <f>"Risk Governance: The Articulation of Hazard. Politics and Ecology"</f>
        <v>Risk Governance: The Articulation of Hazard. Politics and Ecology</v>
      </c>
      <c r="B3593" t="str">
        <f>"9789401793278"</f>
        <v>9789401793278</v>
      </c>
      <c r="C3593">
        <v>143.99</v>
      </c>
      <c r="D3593" t="str">
        <f>"EUR"</f>
        <v>EUR</v>
      </c>
      <c r="E3593" t="str">
        <f>"2015"</f>
        <v>2015</v>
      </c>
      <c r="F3593" t="str">
        <f>"Fra.Paleo"</f>
        <v>Fra.Paleo</v>
      </c>
      <c r="G3593" t="str">
        <f>"negarestanabi"</f>
        <v>negarestanabi</v>
      </c>
    </row>
    <row r="3594" spans="1:7" x14ac:dyDescent="0.25">
      <c r="A3594" t="str">
        <f>"Risks, Rewards and Regulation of Unconventional Gas : A Global Perspective"</f>
        <v>Risks, Rewards and Regulation of Unconventional Gas : A Global Perspective</v>
      </c>
      <c r="B3594" t="str">
        <f>"9781107120082"</f>
        <v>9781107120082</v>
      </c>
      <c r="C3594">
        <v>61.2</v>
      </c>
      <c r="D3594" t="str">
        <f>"GBP"</f>
        <v>GBP</v>
      </c>
      <c r="E3594" t="str">
        <f>"2017"</f>
        <v>2017</v>
      </c>
      <c r="F3594" t="str">
        <f>"Grafton"</f>
        <v>Grafton</v>
      </c>
      <c r="G3594" t="str">
        <f>"arzinbooks"</f>
        <v>arzinbooks</v>
      </c>
    </row>
    <row r="3595" spans="1:7" x14ac:dyDescent="0.25">
      <c r="A3595" t="str">
        <f>"RISKY WORK ENVIRONMENTS : Reappraising Human Work Within Fallible Systems, HB"</f>
        <v>RISKY WORK ENVIRONMENTS : Reappraising Human Work Within Fallible Systems, HB</v>
      </c>
      <c r="B3595" t="str">
        <f>"9780754676096"</f>
        <v>9780754676096</v>
      </c>
      <c r="C3595">
        <v>104.96</v>
      </c>
      <c r="D3595" t="str">
        <f>"USD"</f>
        <v>USD</v>
      </c>
      <c r="E3595" t="str">
        <f>"2009"</f>
        <v>2009</v>
      </c>
      <c r="F3595" t="str">
        <f>"Owen"</f>
        <v>Owen</v>
      </c>
      <c r="G3595" t="str">
        <f>"supply"</f>
        <v>supply</v>
      </c>
    </row>
    <row r="3596" spans="1:7" x14ac:dyDescent="0.25">
      <c r="A3596" t="str">
        <f>"River Algae"</f>
        <v>River Algae</v>
      </c>
      <c r="B3596" t="str">
        <f>"9783319319834"</f>
        <v>9783319319834</v>
      </c>
      <c r="C3596">
        <v>107.99</v>
      </c>
      <c r="D3596" t="str">
        <f>"EUR"</f>
        <v>EUR</v>
      </c>
      <c r="E3596" t="str">
        <f>"2016"</f>
        <v>2016</v>
      </c>
      <c r="F3596" t="str">
        <f>"Necchi JR"</f>
        <v>Necchi JR</v>
      </c>
      <c r="G3596" t="str">
        <f>"negarestanabi"</f>
        <v>negarestanabi</v>
      </c>
    </row>
    <row r="3597" spans="1:7" x14ac:dyDescent="0.25">
      <c r="A3597" t="str">
        <f>"RIVER BASIN MANAGEMENT V, HB"</f>
        <v>RIVER BASIN MANAGEMENT V, HB</v>
      </c>
      <c r="B3597" t="str">
        <f>"9781845641986"</f>
        <v>9781845641986</v>
      </c>
      <c r="C3597">
        <v>132.30000000000001</v>
      </c>
      <c r="D3597" t="str">
        <f>"GBP"</f>
        <v>GBP</v>
      </c>
      <c r="E3597" t="str">
        <f>"2009"</f>
        <v>2009</v>
      </c>
      <c r="F3597" t="str">
        <f>"Brebbia"</f>
        <v>Brebbia</v>
      </c>
      <c r="G3597" t="str">
        <f>"supply"</f>
        <v>supply</v>
      </c>
    </row>
    <row r="3598" spans="1:7" x14ac:dyDescent="0.25">
      <c r="A3598" t="str">
        <f>"River Science: Research and Management for the 21st Century"</f>
        <v>River Science: Research and Management for the 21st Century</v>
      </c>
      <c r="B3598" t="str">
        <f>"9781119994343"</f>
        <v>9781119994343</v>
      </c>
      <c r="C3598">
        <v>93.5</v>
      </c>
      <c r="D3598" t="str">
        <f>"USD"</f>
        <v>USD</v>
      </c>
      <c r="E3598" t="str">
        <f>"2016"</f>
        <v>2016</v>
      </c>
      <c r="F3598" t="str">
        <f>"Gilvear"</f>
        <v>Gilvear</v>
      </c>
      <c r="G3598" t="str">
        <f>"avanddanesh"</f>
        <v>avanddanesh</v>
      </c>
    </row>
    <row r="3599" spans="1:7" x14ac:dyDescent="0.25">
      <c r="A3599" t="str">
        <f>"River System Analysis and Management "</f>
        <v xml:space="preserve">River System Analysis and Management </v>
      </c>
      <c r="B3599" t="str">
        <f>"9789811014710"</f>
        <v>9789811014710</v>
      </c>
      <c r="C3599">
        <v>152.99</v>
      </c>
      <c r="D3599" t="str">
        <f>"EUR"</f>
        <v>EUR</v>
      </c>
      <c r="E3599" t="str">
        <f>"2017"</f>
        <v>2017</v>
      </c>
      <c r="F3599" t="str">
        <f>"Sharma"</f>
        <v>Sharma</v>
      </c>
      <c r="G3599" t="str">
        <f>"negarestanabi"</f>
        <v>negarestanabi</v>
      </c>
    </row>
    <row r="3600" spans="1:7" x14ac:dyDescent="0.25">
      <c r="A3600" t="str">
        <f>"Rivers in the Landscape: Science and Management"</f>
        <v>Rivers in the Landscape: Science and Management</v>
      </c>
      <c r="B3600" t="str">
        <f>"9781118414897"</f>
        <v>9781118414897</v>
      </c>
      <c r="C3600">
        <v>41.3</v>
      </c>
      <c r="D3600" t="str">
        <f>"USD"</f>
        <v>USD</v>
      </c>
      <c r="E3600" t="str">
        <f>"2014"</f>
        <v>2014</v>
      </c>
      <c r="F3600" t="str">
        <f>"Wohl"</f>
        <v>Wohl</v>
      </c>
      <c r="G3600" t="str">
        <f>"avanddanesh"</f>
        <v>avanddanesh</v>
      </c>
    </row>
    <row r="3601" spans="1:7" x14ac:dyDescent="0.25">
      <c r="A3601" t="str">
        <f>"Rock Magnetic Cyclostratigraphy"</f>
        <v>Rock Magnetic Cyclostratigraphy</v>
      </c>
      <c r="B3601" t="str">
        <f>"9781118561287"</f>
        <v>9781118561287</v>
      </c>
      <c r="C3601">
        <v>71.3</v>
      </c>
      <c r="D3601" t="str">
        <f>"USD"</f>
        <v>USD</v>
      </c>
      <c r="E3601" t="str">
        <f>"2014"</f>
        <v>2014</v>
      </c>
      <c r="F3601" t="str">
        <f>"Kodama"</f>
        <v>Kodama</v>
      </c>
      <c r="G3601" t="str">
        <f>"avanddanesh"</f>
        <v>avanddanesh</v>
      </c>
    </row>
    <row r="3602" spans="1:7" x14ac:dyDescent="0.25">
      <c r="A3602" t="str">
        <f>"ROSALUNA"</f>
        <v>ROSALUNA</v>
      </c>
      <c r="B3602" t="str">
        <f>"9781845643997"</f>
        <v>9781845643997</v>
      </c>
      <c r="C3602">
        <v>19.600000000000001</v>
      </c>
      <c r="D3602" t="str">
        <f>"GBP"</f>
        <v>GBP</v>
      </c>
      <c r="E3602" t="str">
        <f>"2009"</f>
        <v>2009</v>
      </c>
      <c r="F3602" t="str">
        <f>"Tiezzi"</f>
        <v>Tiezzi</v>
      </c>
      <c r="G3602" t="str">
        <f>"supply"</f>
        <v>supply</v>
      </c>
    </row>
    <row r="3603" spans="1:7" x14ac:dyDescent="0.25">
      <c r="A3603" t="str">
        <f>"Routledge Handbook of Environmental Displacement and Migration (Routledge International Handbooks)"</f>
        <v>Routledge Handbook of Environmental Displacement and Migration (Routledge International Handbooks)</v>
      </c>
      <c r="B3603" t="str">
        <f>"9781138194465"</f>
        <v>9781138194465</v>
      </c>
      <c r="C3603">
        <v>157.5</v>
      </c>
      <c r="D3603" t="str">
        <f>"GBP"</f>
        <v>GBP</v>
      </c>
      <c r="E3603" t="str">
        <f>"2018"</f>
        <v>2018</v>
      </c>
      <c r="F3603" t="str">
        <f>"McLeman"</f>
        <v>McLeman</v>
      </c>
      <c r="G3603" t="str">
        <f>"sal"</f>
        <v>sal</v>
      </c>
    </row>
    <row r="3604" spans="1:7" x14ac:dyDescent="0.25">
      <c r="A3604" t="str">
        <f>"Routledge Handbook of Forest Ecology"</f>
        <v>Routledge Handbook of Forest Ecology</v>
      </c>
      <c r="B3604" t="str">
        <f>"9780415735452"</f>
        <v>9780415735452</v>
      </c>
      <c r="C3604">
        <v>134.30000000000001</v>
      </c>
      <c r="D3604" t="str">
        <f>"GBP"</f>
        <v>GBP</v>
      </c>
      <c r="E3604" t="str">
        <f>"2015"</f>
        <v>2015</v>
      </c>
      <c r="F3604" t="str">
        <f>"Yves Bergeron(Edito"</f>
        <v>Yves Bergeron(Edito</v>
      </c>
      <c r="G3604" t="str">
        <f>"AsarBartar"</f>
        <v>AsarBartar</v>
      </c>
    </row>
    <row r="3605" spans="1:7" x14ac:dyDescent="0.25">
      <c r="A3605" t="str">
        <f>"Rural Water Systems for Multiple Uses and Livelihood Security"</f>
        <v>Rural Water Systems for Multiple Uses and Livelihood Security</v>
      </c>
      <c r="B3605" t="str">
        <f>"9780128041321"</f>
        <v>9780128041321</v>
      </c>
      <c r="C3605">
        <v>71.95</v>
      </c>
      <c r="D3605" t="str">
        <f>"USD"</f>
        <v>USD</v>
      </c>
      <c r="E3605" t="str">
        <f>"2016"</f>
        <v>2016</v>
      </c>
      <c r="F3605" t="str">
        <f>"Kumar et al"</f>
        <v>Kumar et al</v>
      </c>
      <c r="G3605" t="str">
        <f>"arang"</f>
        <v>arang</v>
      </c>
    </row>
    <row r="3606" spans="1:7" x14ac:dyDescent="0.25">
      <c r="A3606" t="str">
        <f>"RUSSIAâ€™S ENERGY POLICIES"</f>
        <v>RUSSIAâ€™S ENERGY POLICIES</v>
      </c>
      <c r="B3606" t="str">
        <f>"9781849800297"</f>
        <v>9781849800297</v>
      </c>
      <c r="C3606">
        <v>48</v>
      </c>
      <c r="D3606" t="str">
        <f>"GBP"</f>
        <v>GBP</v>
      </c>
      <c r="E3606" t="str">
        <f>"2012"</f>
        <v>2012</v>
      </c>
      <c r="F3606" t="str">
        <f>"AALTO, P."</f>
        <v>AALTO, P.</v>
      </c>
      <c r="G3606" t="str">
        <f>"AsarBartar"</f>
        <v>AsarBartar</v>
      </c>
    </row>
    <row r="3607" spans="1:7" x14ac:dyDescent="0.25">
      <c r="A3607" t="str">
        <f>"SACRED NATURAL SITES : CONSERVING NATURE AND CULTURE"</f>
        <v>SACRED NATURAL SITES : CONSERVING NATURE AND CULTURE</v>
      </c>
      <c r="B3607" t="str">
        <f>"9781849711678"</f>
        <v>9781849711678</v>
      </c>
      <c r="C3607">
        <v>8.99</v>
      </c>
      <c r="D3607" t="str">
        <f>"GBP"</f>
        <v>GBP</v>
      </c>
      <c r="E3607" t="str">
        <f>"2010"</f>
        <v>2010</v>
      </c>
      <c r="F3607" t="str">
        <f>"BAS VERSCHUUREN, RO"</f>
        <v>BAS VERSCHUUREN, RO</v>
      </c>
      <c r="G3607" t="str">
        <f>"AsarBartar"</f>
        <v>AsarBartar</v>
      </c>
    </row>
    <row r="3608" spans="1:7" x14ac:dyDescent="0.25">
      <c r="A3608" t="str">
        <f>"SAFE MANAGEMENT OF SHELLFISH AND HARVEST WATERS"</f>
        <v>SAFE MANAGEMENT OF SHELLFISH AND HARVEST WATERS</v>
      </c>
      <c r="B3608" t="str">
        <f>"9781843392255"</f>
        <v>9781843392255</v>
      </c>
      <c r="C3608">
        <v>23.7</v>
      </c>
      <c r="D3608" t="str">
        <f>"GBP"</f>
        <v>GBP</v>
      </c>
      <c r="E3608" t="str">
        <f>"2010"</f>
        <v>2010</v>
      </c>
      <c r="F3608" t="str">
        <f>"G REES, K POND, D K"</f>
        <v>G REES, K POND, D K</v>
      </c>
      <c r="G3608" t="str">
        <f>"AsarBartar"</f>
        <v>AsarBartar</v>
      </c>
    </row>
    <row r="3609" spans="1:7" x14ac:dyDescent="0.25">
      <c r="A3609" t="str">
        <f>"Saving the Earth as a Career: Advice on Becoming a Conservation Professional"</f>
        <v>Saving the Earth as a Career: Advice on Becoming a Conservation Professional</v>
      </c>
      <c r="B3609" t="str">
        <f>"9781405167611"</f>
        <v>9781405167611</v>
      </c>
      <c r="C3609">
        <v>14.97</v>
      </c>
      <c r="D3609" t="str">
        <f>"USD"</f>
        <v>USD</v>
      </c>
      <c r="E3609" t="str">
        <f>"2007"</f>
        <v>2007</v>
      </c>
      <c r="F3609" t="str">
        <f>"Hunter"</f>
        <v>Hunter</v>
      </c>
      <c r="G3609" t="str">
        <f>"safirketab"</f>
        <v>safirketab</v>
      </c>
    </row>
    <row r="3610" spans="1:7" x14ac:dyDescent="0.25">
      <c r="A3610" t="str">
        <f>"SCIENCE OF WEATHER AND ENVIRONMENT, HB"</f>
        <v>SCIENCE OF WEATHER AND ENVIRONMENT, HB</v>
      </c>
      <c r="B3610" t="str">
        <f>"9789380179445"</f>
        <v>9789380179445</v>
      </c>
      <c r="C3610">
        <v>26.25</v>
      </c>
      <c r="D3610" t="str">
        <f>"USD"</f>
        <v>USD</v>
      </c>
      <c r="E3610" t="str">
        <f>"2010"</f>
        <v>2010</v>
      </c>
      <c r="F3610" t="str">
        <f>"Bolger"</f>
        <v>Bolger</v>
      </c>
      <c r="G3610" t="str">
        <f>"supply"</f>
        <v>supply</v>
      </c>
    </row>
    <row r="3611" spans="1:7" x14ac:dyDescent="0.25">
      <c r="A3611" t="str">
        <f>"SCIENCE, POLICY AND STAKEHOLDERS IN WATER MANAGEMENT: A"</f>
        <v>SCIENCE, POLICY AND STAKEHOLDERS IN WATER MANAGEMENT: A</v>
      </c>
      <c r="B3611" t="str">
        <f>"9781844079193"</f>
        <v>9781844079193</v>
      </c>
      <c r="C3611">
        <v>19.5</v>
      </c>
      <c r="D3611" t="str">
        <f>"GBP"</f>
        <v>GBP</v>
      </c>
      <c r="E3611" t="str">
        <f>"2010"</f>
        <v>2010</v>
      </c>
      <c r="F3611" t="str">
        <f>"PER ST?LNACKE(EDITO"</f>
        <v>PER ST?LNACKE(EDITO</v>
      </c>
      <c r="G3611" t="str">
        <f>"AsarBartar"</f>
        <v>AsarBartar</v>
      </c>
    </row>
    <row r="3612" spans="1:7" x14ac:dyDescent="0.25">
      <c r="A3612" t="str">
        <f>"Scientific American Environmental Science for a Changing World"</f>
        <v>Scientific American Environmental Science for a Changing World</v>
      </c>
      <c r="B3612" t="str">
        <f>"9781464162206"</f>
        <v>9781464162206</v>
      </c>
      <c r="C3612">
        <v>25.8</v>
      </c>
      <c r="D3612" t="str">
        <f>"EUR"</f>
        <v>EUR</v>
      </c>
      <c r="E3612" t="str">
        <f>"2015"</f>
        <v>2015</v>
      </c>
      <c r="F3612" t="str">
        <f>"Karr, Susan &amp; Interl"</f>
        <v>Karr, Susan &amp; Interl</v>
      </c>
      <c r="G3612" t="str">
        <f>"arzinbooks"</f>
        <v>arzinbooks</v>
      </c>
    </row>
    <row r="3613" spans="1:7" x14ac:dyDescent="0.25">
      <c r="A3613" t="str">
        <f>"Scientific Integrity and Ethics in the Geosciences"</f>
        <v>Scientific Integrity and Ethics in the Geosciences</v>
      </c>
      <c r="B3613" t="str">
        <f>"9781119067788"</f>
        <v>9781119067788</v>
      </c>
      <c r="C3613">
        <v>90</v>
      </c>
      <c r="D3613" t="str">
        <f t="shared" ref="D3613:D3620" si="201">"USD"</f>
        <v>USD</v>
      </c>
      <c r="E3613" t="str">
        <f>"2018"</f>
        <v>2018</v>
      </c>
      <c r="F3613" t="str">
        <f>"Gundersen"</f>
        <v>Gundersen</v>
      </c>
      <c r="G3613" t="str">
        <f>"avanddanesh"</f>
        <v>avanddanesh</v>
      </c>
    </row>
    <row r="3614" spans="1:7" x14ac:dyDescent="0.25">
      <c r="A3614" t="str">
        <f>"Sea Ice,2e"</f>
        <v>Sea Ice,2e</v>
      </c>
      <c r="B3614" t="str">
        <f>"9781405185806"</f>
        <v>9781405185806</v>
      </c>
      <c r="C3614">
        <v>72</v>
      </c>
      <c r="D3614" t="str">
        <f t="shared" si="201"/>
        <v>USD</v>
      </c>
      <c r="E3614" t="str">
        <f>"2009"</f>
        <v>2009</v>
      </c>
      <c r="F3614" t="str">
        <f>"Thomas"</f>
        <v>Thomas</v>
      </c>
      <c r="G3614" t="str">
        <f>"avanddanesh"</f>
        <v>avanddanesh</v>
      </c>
    </row>
    <row r="3615" spans="1:7" x14ac:dyDescent="0.25">
      <c r="A3615" t="str">
        <f>"Sea Ice,3e"</f>
        <v>Sea Ice,3e</v>
      </c>
      <c r="B3615" t="str">
        <f>"9781118778388"</f>
        <v>9781118778388</v>
      </c>
      <c r="C3615">
        <v>171</v>
      </c>
      <c r="D3615" t="str">
        <f t="shared" si="201"/>
        <v>USD</v>
      </c>
      <c r="E3615" t="str">
        <f>"2017"</f>
        <v>2017</v>
      </c>
      <c r="F3615" t="str">
        <f>"Thomas"</f>
        <v>Thomas</v>
      </c>
      <c r="G3615" t="str">
        <f>"avanddanesh"</f>
        <v>avanddanesh</v>
      </c>
    </row>
    <row r="3616" spans="1:7" x14ac:dyDescent="0.25">
      <c r="A3616" t="str">
        <f>"Sea Ice: Physics and Remote Sensing"</f>
        <v>Sea Ice: Physics and Remote Sensing</v>
      </c>
      <c r="B3616" t="str">
        <f>"9781119027898"</f>
        <v>9781119027898</v>
      </c>
      <c r="C3616">
        <v>152</v>
      </c>
      <c r="D3616" t="str">
        <f t="shared" si="201"/>
        <v>USD</v>
      </c>
      <c r="E3616" t="str">
        <f>"2015"</f>
        <v>2015</v>
      </c>
      <c r="F3616" t="str">
        <f>"Shokr"</f>
        <v>Shokr</v>
      </c>
      <c r="G3616" t="str">
        <f>"avanddanesh"</f>
        <v>avanddanesh</v>
      </c>
    </row>
    <row r="3617" spans="1:7" x14ac:dyDescent="0.25">
      <c r="A3617" t="str">
        <f>"Seascape Ecology"</f>
        <v>Seascape Ecology</v>
      </c>
      <c r="B3617" t="str">
        <f>"9781119084433"</f>
        <v>9781119084433</v>
      </c>
      <c r="C3617">
        <v>94.5</v>
      </c>
      <c r="D3617" t="str">
        <f t="shared" si="201"/>
        <v>USD</v>
      </c>
      <c r="E3617" t="str">
        <f>"2017"</f>
        <v>2017</v>
      </c>
      <c r="F3617" t="str">
        <f>"Pittman"</f>
        <v>Pittman</v>
      </c>
      <c r="G3617" t="str">
        <f>"avanddanesh"</f>
        <v>avanddanesh</v>
      </c>
    </row>
    <row r="3618" spans="1:7" x14ac:dyDescent="0.25">
      <c r="A3618" t="str">
        <f>"SECURING OUR WATER SUPPLY, HB"</f>
        <v>SECURING OUR WATER SUPPLY, HB</v>
      </c>
      <c r="B3618" t="str">
        <f>"9781593700690"</f>
        <v>9781593700690</v>
      </c>
      <c r="C3618">
        <v>55.3</v>
      </c>
      <c r="D3618" t="str">
        <f t="shared" si="201"/>
        <v>USD</v>
      </c>
      <c r="E3618" t="str">
        <f>"2006"</f>
        <v>2006</v>
      </c>
      <c r="F3618" t="str">
        <f>"Kroll"</f>
        <v>Kroll</v>
      </c>
      <c r="G3618" t="str">
        <f>"supply"</f>
        <v>supply</v>
      </c>
    </row>
    <row r="3619" spans="1:7" x14ac:dyDescent="0.25">
      <c r="A3619" t="str">
        <f>"Security and Environmental Change"</f>
        <v>Security and Environmental Change</v>
      </c>
      <c r="B3619" t="str">
        <f>"9780745642925"</f>
        <v>9780745642925</v>
      </c>
      <c r="C3619">
        <v>20.149999999999999</v>
      </c>
      <c r="D3619" t="str">
        <f t="shared" si="201"/>
        <v>USD</v>
      </c>
      <c r="E3619" t="str">
        <f>"2009"</f>
        <v>2009</v>
      </c>
      <c r="F3619" t="str">
        <f>"Dalby"</f>
        <v>Dalby</v>
      </c>
      <c r="G3619" t="str">
        <f>"safirketab"</f>
        <v>safirketab</v>
      </c>
    </row>
    <row r="3620" spans="1:7" x14ac:dyDescent="0.25">
      <c r="A3620" t="str">
        <f>"Sediments, Morphology and Sedimentary Processes on Continental Shelves: Advances in technologies, research and applications"</f>
        <v>Sediments, Morphology and Sedimentary Processes on Continental Shelves: Advances in technologies, research and applications</v>
      </c>
      <c r="B3620" t="str">
        <f>"9781444350821"</f>
        <v>9781444350821</v>
      </c>
      <c r="C3620">
        <v>78</v>
      </c>
      <c r="D3620" t="str">
        <f t="shared" si="201"/>
        <v>USD</v>
      </c>
      <c r="E3620" t="str">
        <f>"2012"</f>
        <v>2012</v>
      </c>
      <c r="F3620" t="str">
        <f>"Li"</f>
        <v>Li</v>
      </c>
      <c r="G3620" t="str">
        <f>"avanddanesh"</f>
        <v>avanddanesh</v>
      </c>
    </row>
    <row r="3621" spans="1:7" x14ac:dyDescent="0.25">
      <c r="A3621" t="str">
        <f>"Seeing the Light: The Case for Nuclear Power in the 21st Century"</f>
        <v>Seeing the Light: The Case for Nuclear Power in the 21st Century</v>
      </c>
      <c r="B3621" t="str">
        <f>"9781108406673"</f>
        <v>9781108406673</v>
      </c>
      <c r="C3621">
        <v>21.3</v>
      </c>
      <c r="D3621" t="str">
        <f>"GBP"</f>
        <v>GBP</v>
      </c>
      <c r="E3621" t="str">
        <f>"2017"</f>
        <v>2017</v>
      </c>
      <c r="F3621" t="str">
        <f>"Montgomery"</f>
        <v>Montgomery</v>
      </c>
      <c r="G3621" t="str">
        <f>"arzinbooks"</f>
        <v>arzinbooks</v>
      </c>
    </row>
    <row r="3622" spans="1:7" x14ac:dyDescent="0.25">
      <c r="A3622" t="str">
        <f>"Seismic Loads"</f>
        <v>Seismic Loads</v>
      </c>
      <c r="B3622" t="str">
        <f>"9781118946244"</f>
        <v>9781118946244</v>
      </c>
      <c r="C3622">
        <v>165.8</v>
      </c>
      <c r="D3622" t="str">
        <f>"USD"</f>
        <v>USD</v>
      </c>
      <c r="E3622" t="str">
        <f>"2016"</f>
        <v>2016</v>
      </c>
      <c r="F3622" t="str">
        <f>"Lyatkher"</f>
        <v>Lyatkher</v>
      </c>
      <c r="G3622" t="str">
        <f>"avanddanesh"</f>
        <v>avanddanesh</v>
      </c>
    </row>
    <row r="3623" spans="1:7" x14ac:dyDescent="0.25">
      <c r="A3623" t="str">
        <f>"SEMI-FIELD METHODS FOR THE ENVIRONMENTAL RISK ASSESSMEN"</f>
        <v>SEMI-FIELD METHODS FOR THE ENVIRONMENTAL RISK ASSESSMEN</v>
      </c>
      <c r="B3623" t="str">
        <f>"9781439828588"</f>
        <v>9781439828588</v>
      </c>
      <c r="C3623">
        <v>24.29</v>
      </c>
      <c r="D3623" t="str">
        <f>"GBP"</f>
        <v>GBP</v>
      </c>
      <c r="E3623" t="str">
        <f>"2011"</f>
        <v>2011</v>
      </c>
      <c r="F3623" t="str">
        <f>"JOSE P. SOUSA(EDITO"</f>
        <v>JOSE P. SOUSA(EDITO</v>
      </c>
      <c r="G3623" t="str">
        <f>"AsarBartar"</f>
        <v>AsarBartar</v>
      </c>
    </row>
    <row r="3624" spans="1:7" x14ac:dyDescent="0.25">
      <c r="A3624" t="str">
        <f>"Sewage and Landfill Leachate: Assessment and Remediation of Environmental Hazards"</f>
        <v>Sewage and Landfill Leachate: Assessment and Remediation of Environmental Hazards</v>
      </c>
      <c r="B3624" t="str">
        <f>"9781771883948"</f>
        <v>9781771883948</v>
      </c>
      <c r="C3624">
        <v>75.650000000000006</v>
      </c>
      <c r="D3624" t="str">
        <f>"GBP"</f>
        <v>GBP</v>
      </c>
      <c r="E3624" t="str">
        <f>"2016"</f>
        <v>2016</v>
      </c>
      <c r="F3624" t="str">
        <f>"Marco Ragazzi(Edito"</f>
        <v>Marco Ragazzi(Edito</v>
      </c>
      <c r="G3624" t="str">
        <f>"AsarBartar"</f>
        <v>AsarBartar</v>
      </c>
    </row>
    <row r="3625" spans="1:7" x14ac:dyDescent="0.25">
      <c r="A3625" t="str">
        <f>"Shale Gas: Ecology. Politics. Economy"</f>
        <v>Shale Gas: Ecology. Politics. Economy</v>
      </c>
      <c r="B3625" t="str">
        <f>"9783319502731"</f>
        <v>9783319502731</v>
      </c>
      <c r="C3625">
        <v>206.99</v>
      </c>
      <c r="D3625" t="str">
        <f>"EUR"</f>
        <v>EUR</v>
      </c>
      <c r="E3625" t="str">
        <f>"2017"</f>
        <v>2017</v>
      </c>
      <c r="F3625" t="str">
        <f>"Zhiltsov"</f>
        <v>Zhiltsov</v>
      </c>
      <c r="G3625" t="str">
        <f>"negarestanabi"</f>
        <v>negarestanabi</v>
      </c>
    </row>
    <row r="3626" spans="1:7" x14ac:dyDescent="0.25">
      <c r="A3626" t="str">
        <f>"Shaping Ecology: The Life of Arthur Tansley"</f>
        <v>Shaping Ecology: The Life of Arthur Tansley</v>
      </c>
      <c r="B3626" t="str">
        <f>"9780470671542"</f>
        <v>9780470671542</v>
      </c>
      <c r="C3626">
        <v>16.5</v>
      </c>
      <c r="D3626" t="str">
        <f>"USD"</f>
        <v>USD</v>
      </c>
      <c r="E3626" t="str">
        <f>"2012"</f>
        <v>2012</v>
      </c>
      <c r="F3626" t="str">
        <f>"Ayres"</f>
        <v>Ayres</v>
      </c>
      <c r="G3626" t="str">
        <f>"avanddanesh"</f>
        <v>avanddanesh</v>
      </c>
    </row>
    <row r="3627" spans="1:7" x14ac:dyDescent="0.25">
      <c r="A3627" t="str">
        <f>"Shared Governance for Sustainable Working Landscapes"</f>
        <v>Shared Governance for Sustainable Working Landscapes</v>
      </c>
      <c r="B3627" t="str">
        <f>"9781498718004"</f>
        <v>9781498718004</v>
      </c>
      <c r="C3627">
        <v>96.9</v>
      </c>
      <c r="D3627" t="str">
        <f>"GBP"</f>
        <v>GBP</v>
      </c>
      <c r="E3627" t="str">
        <f>"2016"</f>
        <v>2016</v>
      </c>
      <c r="F3627" t="str">
        <f>"Timothy M. Gieseke"</f>
        <v>Timothy M. Gieseke</v>
      </c>
      <c r="G3627" t="str">
        <f>"AsarBartar"</f>
        <v>AsarBartar</v>
      </c>
    </row>
    <row r="3628" spans="1:7" x14ac:dyDescent="0.25">
      <c r="A3628" t="str">
        <f>"Shrimp Raceway Aquaculture Technology For India, HB"</f>
        <v>Shrimp Raceway Aquaculture Technology For India, HB</v>
      </c>
      <c r="B3628" t="str">
        <f>"9789380428079"</f>
        <v>9789380428079</v>
      </c>
      <c r="C3628">
        <v>17.43</v>
      </c>
      <c r="D3628" t="str">
        <f>"USD"</f>
        <v>USD</v>
      </c>
      <c r="E3628" t="str">
        <f>"2012"</f>
        <v>2012</v>
      </c>
      <c r="F3628" t="str">
        <f>"Felix"</f>
        <v>Felix</v>
      </c>
      <c r="G3628" t="str">
        <f>"supply"</f>
        <v>supply</v>
      </c>
    </row>
    <row r="3629" spans="1:7" x14ac:dyDescent="0.25">
      <c r="A3629" t="str">
        <f>"SICK BUILDING SYNDROME AND RELATED ILLNESS: PREVENTION"</f>
        <v>SICK BUILDING SYNDROME AND RELATED ILLNESS: PREVENTION</v>
      </c>
      <c r="B3629" t="str">
        <f>"9781439801444"</f>
        <v>9781439801444</v>
      </c>
      <c r="C3629">
        <v>26.1</v>
      </c>
      <c r="D3629" t="str">
        <f>"GBP"</f>
        <v>GBP</v>
      </c>
      <c r="E3629" t="str">
        <f>"2011"</f>
        <v>2011</v>
      </c>
      <c r="F3629" t="str">
        <f>"WALTER E. GOLDSTEIN"</f>
        <v>WALTER E. GOLDSTEIN</v>
      </c>
      <c r="G3629" t="str">
        <f>"AsarBartar"</f>
        <v>AsarBartar</v>
      </c>
    </row>
    <row r="3630" spans="1:7" x14ac:dyDescent="0.25">
      <c r="A3630" t="str">
        <f>"Sludge Management"</f>
        <v>Sludge Management</v>
      </c>
      <c r="B3630" t="str">
        <f>"9781138029545"</f>
        <v>9781138029545</v>
      </c>
      <c r="C3630">
        <v>139.5</v>
      </c>
      <c r="D3630" t="str">
        <f>"GBP"</f>
        <v>GBP</v>
      </c>
      <c r="E3630" t="str">
        <f>"2017"</f>
        <v>2017</v>
      </c>
      <c r="F3630" t="str">
        <f>"Gurjar"</f>
        <v>Gurjar</v>
      </c>
      <c r="G3630" t="str">
        <f>"sal"</f>
        <v>sal</v>
      </c>
    </row>
    <row r="3631" spans="1:7" x14ac:dyDescent="0.25">
      <c r="A3631" t="str">
        <f>"SMALL WATER AND WASTEWATER SYSTEMS VII, PB"</f>
        <v>SMALL WATER AND WASTEWATER SYSTEMS VII, PB</v>
      </c>
      <c r="B3631" t="str">
        <f>"9781843395829"</f>
        <v>9781843395829</v>
      </c>
      <c r="C3631">
        <v>35</v>
      </c>
      <c r="D3631" t="str">
        <f>"GBP"</f>
        <v>GBP</v>
      </c>
      <c r="E3631" t="str">
        <f>"2007"</f>
        <v>2007</v>
      </c>
      <c r="F3631" t="str">
        <f>"Martinez"</f>
        <v>Martinez</v>
      </c>
      <c r="G3631" t="str">
        <f>"supply"</f>
        <v>supply</v>
      </c>
    </row>
    <row r="3632" spans="1:7" x14ac:dyDescent="0.25">
      <c r="A3632" t="str">
        <f>"Smart Cities as a Solution for Reducing Urban Waste and Pollution"</f>
        <v>Smart Cities as a Solution for Reducing Urban Waste and Pollution</v>
      </c>
      <c r="B3632" t="str">
        <f>"9781522503026"</f>
        <v>9781522503026</v>
      </c>
      <c r="C3632">
        <v>123.5</v>
      </c>
      <c r="D3632" t="str">
        <f>"USD"</f>
        <v>USD</v>
      </c>
      <c r="E3632" t="str">
        <f>"2016"</f>
        <v>2016</v>
      </c>
      <c r="F3632" t="str">
        <f>"Goh Bee Hua ,"</f>
        <v>Goh Bee Hua ,</v>
      </c>
      <c r="G3632" t="str">
        <f>"arzinbooks"</f>
        <v>arzinbooks</v>
      </c>
    </row>
    <row r="3633" spans="1:7" x14ac:dyDescent="0.25">
      <c r="A3633" t="str">
        <f>"Smart Green Cities: Toward a Carbon Neutral World"</f>
        <v>Smart Green Cities: Toward a Carbon Neutral World</v>
      </c>
      <c r="B3633" t="str">
        <f>"9781472455543"</f>
        <v>9781472455543</v>
      </c>
      <c r="C3633">
        <v>63.75</v>
      </c>
      <c r="D3633" t="str">
        <f>"GBP"</f>
        <v>GBP</v>
      </c>
      <c r="E3633" t="str">
        <f>"2016"</f>
        <v>2016</v>
      </c>
      <c r="F3633" t="str">
        <f>"Woodrow Clark II,Gr"</f>
        <v>Woodrow Clark II,Gr</v>
      </c>
      <c r="G3633" t="str">
        <f>"AsarBartar"</f>
        <v>AsarBartar</v>
      </c>
    </row>
    <row r="3634" spans="1:7" x14ac:dyDescent="0.25">
      <c r="A3634" t="str">
        <f>"Smart Grid as a Solution for Renewable and Efficient Energy"</f>
        <v>Smart Grid as a Solution for Renewable and Efficient Energy</v>
      </c>
      <c r="B3634" t="str">
        <f>"9781522500728"</f>
        <v>9781522500728</v>
      </c>
      <c r="C3634">
        <v>143</v>
      </c>
      <c r="D3634" t="str">
        <f>"USD"</f>
        <v>USD</v>
      </c>
      <c r="E3634" t="str">
        <f>"2016"</f>
        <v>2016</v>
      </c>
      <c r="F3634" t="str">
        <f>"Ayaz Ahmad , Naveed "</f>
        <v xml:space="preserve">Ayaz Ahmad , Naveed </v>
      </c>
      <c r="G3634" t="str">
        <f>"arzinbooks"</f>
        <v>arzinbooks</v>
      </c>
    </row>
    <row r="3635" spans="1:7" x14ac:dyDescent="0.25">
      <c r="A3635" t="str">
        <f>"Smart Materials for Advanced Environmental Applications"</f>
        <v>Smart Materials for Advanced Environmental Applications</v>
      </c>
      <c r="B3635" t="str">
        <f>"9781782621089"</f>
        <v>9781782621089</v>
      </c>
      <c r="C3635">
        <v>103.4</v>
      </c>
      <c r="D3635" t="str">
        <f>"GBP"</f>
        <v>GBP</v>
      </c>
      <c r="E3635" t="str">
        <f>"2016"</f>
        <v>2016</v>
      </c>
      <c r="F3635" t="str">
        <f>"Peng Wang andÂ Xianma"</f>
        <v>Peng Wang andÂ Xianma</v>
      </c>
      <c r="G3635" t="str">
        <f>"arzinbooks"</f>
        <v>arzinbooks</v>
      </c>
    </row>
    <row r="3636" spans="1:7" x14ac:dyDescent="0.25">
      <c r="A3636" t="str">
        <f>"Smart Materials for Waste Water Applications"</f>
        <v>Smart Materials for Waste Water Applications</v>
      </c>
      <c r="B3636" t="str">
        <f>"9781119041184"</f>
        <v>9781119041184</v>
      </c>
      <c r="C3636">
        <v>165.8</v>
      </c>
      <c r="D3636" t="str">
        <f>"USD"</f>
        <v>USD</v>
      </c>
      <c r="E3636" t="str">
        <f>"2016"</f>
        <v>2016</v>
      </c>
      <c r="F3636" t="str">
        <f>"Mishra"</f>
        <v>Mishra</v>
      </c>
      <c r="G3636" t="str">
        <f>"avanddanesh"</f>
        <v>avanddanesh</v>
      </c>
    </row>
    <row r="3637" spans="1:7" x14ac:dyDescent="0.25">
      <c r="A3637" t="str">
        <f>"Social, Health, and Environmental Infrastructures for Economic Growth"</f>
        <v>Social, Health, and Environmental Infrastructures for Economic Growth</v>
      </c>
      <c r="B3637" t="str">
        <f>"9781522523642"</f>
        <v>9781522523642</v>
      </c>
      <c r="C3637">
        <v>150</v>
      </c>
      <c r="D3637" t="str">
        <f>"USD"</f>
        <v>USD</v>
      </c>
      <c r="E3637" t="str">
        <f>"2017"</f>
        <v>2017</v>
      </c>
      <c r="F3637" t="str">
        <f>"Ramesh Chandra Das"</f>
        <v>Ramesh Chandra Das</v>
      </c>
      <c r="G3637" t="str">
        <f>"arzinbooks"</f>
        <v>arzinbooks</v>
      </c>
    </row>
    <row r="3638" spans="1:7" x14ac:dyDescent="0.25">
      <c r="A3638" t="str">
        <f>"Soft Computing In Water Resources Engineering : Artifical Neural Networks, Fuzzy Logic And Genetic Algorithms, HB"</f>
        <v>Soft Computing In Water Resources Engineering : Artifical Neural Networks, Fuzzy Logic And Genetic Algorithms, HB</v>
      </c>
      <c r="B3638" t="str">
        <f>"9781845646363"</f>
        <v>9781845646363</v>
      </c>
      <c r="C3638">
        <v>96.6</v>
      </c>
      <c r="D3638" t="str">
        <f>"GBP"</f>
        <v>GBP</v>
      </c>
      <c r="E3638" t="str">
        <f>"2011"</f>
        <v>2011</v>
      </c>
      <c r="F3638" t="str">
        <f>"Tayfur"</f>
        <v>Tayfur</v>
      </c>
      <c r="G3638" t="str">
        <f>"supply"</f>
        <v>supply</v>
      </c>
    </row>
    <row r="3639" spans="1:7" x14ac:dyDescent="0.25">
      <c r="A3639" t="str">
        <f>"Soil and Plant Analysis for Forest Ecosystem Characterization (Ecosystem Science and Applications)"</f>
        <v>Soil and Plant Analysis for Forest Ecosystem Characterization (Ecosystem Science and Applications)</v>
      </c>
      <c r="B3639" t="str">
        <f>"9783110290295"</f>
        <v>9783110290295</v>
      </c>
      <c r="C3639">
        <v>85</v>
      </c>
      <c r="D3639" t="str">
        <f>"EUR"</f>
        <v>EUR</v>
      </c>
      <c r="E3639" t="str">
        <f>"2015"</f>
        <v>2015</v>
      </c>
      <c r="F3639" t="str">
        <f>"Daniel John Vogt,Jo"</f>
        <v>Daniel John Vogt,Jo</v>
      </c>
      <c r="G3639" t="str">
        <f>"AsarBartar"</f>
        <v>AsarBartar</v>
      </c>
    </row>
    <row r="3640" spans="1:7" x14ac:dyDescent="0.25">
      <c r="A3640" t="str">
        <f>"Soil Magnetism, Applications in Pedology, Environmental Science and Agriculture"</f>
        <v>Soil Magnetism, Applications in Pedology, Environmental Science and Agriculture</v>
      </c>
      <c r="B3640" t="str">
        <f>"9780128092392"</f>
        <v>9780128092392</v>
      </c>
      <c r="C3640">
        <v>108</v>
      </c>
      <c r="D3640" t="str">
        <f>"USD"</f>
        <v>USD</v>
      </c>
      <c r="E3640" t="str">
        <f>"2016"</f>
        <v>2016</v>
      </c>
      <c r="F3640" t="str">
        <f>"Jordanova"</f>
        <v>Jordanova</v>
      </c>
      <c r="G3640" t="str">
        <f>"arang"</f>
        <v>arang</v>
      </c>
    </row>
    <row r="3641" spans="1:7" x14ac:dyDescent="0.25">
      <c r="A3641" t="str">
        <f>"Soil Management and Climate Change, Effects on Organic Carbon, Nitrogen Dynamics, and Greenhouse Gas Emissions"</f>
        <v>Soil Management and Climate Change, Effects on Organic Carbon, Nitrogen Dynamics, and Greenhouse Gas Emissions</v>
      </c>
      <c r="B3641" t="str">
        <f>"9780128121283"</f>
        <v>9780128121283</v>
      </c>
      <c r="C3641">
        <v>180</v>
      </c>
      <c r="D3641" t="str">
        <f>"USD"</f>
        <v>USD</v>
      </c>
      <c r="E3641" t="str">
        <f>"2017"</f>
        <v>2017</v>
      </c>
      <c r="F3641" t="str">
        <f>"Munoz and Zornoza"</f>
        <v>Munoz and Zornoza</v>
      </c>
      <c r="G3641" t="str">
        <f>"arang"</f>
        <v>arang</v>
      </c>
    </row>
    <row r="3642" spans="1:7" x14ac:dyDescent="0.25">
      <c r="A3642" t="str">
        <f>"Soil Mapping and Process Modeling for Sustainable Land Use Management"</f>
        <v>Soil Mapping and Process Modeling for Sustainable Land Use Management</v>
      </c>
      <c r="B3642" t="str">
        <f>"9780128052006"</f>
        <v>9780128052006</v>
      </c>
      <c r="C3642">
        <v>108</v>
      </c>
      <c r="D3642" t="str">
        <f>"USD"</f>
        <v>USD</v>
      </c>
      <c r="E3642" t="str">
        <f>"2017"</f>
        <v>2017</v>
      </c>
      <c r="F3642" t="str">
        <f>"Pereira et al"</f>
        <v>Pereira et al</v>
      </c>
      <c r="G3642" t="str">
        <f>"arang"</f>
        <v>arang</v>
      </c>
    </row>
    <row r="3643" spans="1:7" x14ac:dyDescent="0.25">
      <c r="A3643" t="str">
        <f>"Soil Pollution - An Emerging Threat to Agriculture"</f>
        <v>Soil Pollution - An Emerging Threat to Agriculture</v>
      </c>
      <c r="B3643" t="str">
        <f>"9789811042737"</f>
        <v>9789811042737</v>
      </c>
      <c r="C3643">
        <v>134.99</v>
      </c>
      <c r="D3643" t="str">
        <f>"EUR"</f>
        <v>EUR</v>
      </c>
      <c r="E3643" t="str">
        <f>"2017"</f>
        <v>2017</v>
      </c>
      <c r="F3643" t="str">
        <f>"Saha"</f>
        <v>Saha</v>
      </c>
      <c r="G3643" t="str">
        <f>"negarestanabi"</f>
        <v>negarestanabi</v>
      </c>
    </row>
    <row r="3644" spans="1:7" x14ac:dyDescent="0.25">
      <c r="A3644" t="str">
        <f>"Soil Science: Agricultural and Environmental Prospectives"</f>
        <v>Soil Science: Agricultural and Environmental Prospectives</v>
      </c>
      <c r="B3644" t="str">
        <f>"9783319344492"</f>
        <v>9783319344492</v>
      </c>
      <c r="C3644">
        <v>143.99</v>
      </c>
      <c r="D3644" t="str">
        <f>"EUR"</f>
        <v>EUR</v>
      </c>
      <c r="E3644" t="str">
        <f>"2016"</f>
        <v>2016</v>
      </c>
      <c r="F3644" t="str">
        <f>"Hakeem"</f>
        <v>Hakeem</v>
      </c>
      <c r="G3644" t="str">
        <f>"negarestanabi"</f>
        <v>negarestanabi</v>
      </c>
    </row>
    <row r="3645" spans="1:7" x14ac:dyDescent="0.25">
      <c r="A3645" t="str">
        <f>"Soil: The Skin of the Planet Earth"</f>
        <v>Soil: The Skin of the Planet Earth</v>
      </c>
      <c r="B3645" t="str">
        <f>"9789401797887"</f>
        <v>9789401797887</v>
      </c>
      <c r="C3645">
        <v>31.49</v>
      </c>
      <c r="D3645" t="str">
        <f>"EUR"</f>
        <v>EUR</v>
      </c>
      <c r="E3645" t="str">
        <f>"2015"</f>
        <v>2015</v>
      </c>
      <c r="F3645" t="str">
        <f>"KutÃ­lek"</f>
        <v>KutÃ­lek</v>
      </c>
      <c r="G3645" t="str">
        <f>"negarestanabi"</f>
        <v>negarestanabi</v>
      </c>
    </row>
    <row r="3646" spans="1:7" x14ac:dyDescent="0.25">
      <c r="A3646" t="str">
        <f>"Solar Energy Sciences and Engineering Applications"</f>
        <v>Solar Energy Sciences and Engineering Applications</v>
      </c>
      <c r="B3646" t="str">
        <f>"9781138000131"</f>
        <v>9781138000131</v>
      </c>
      <c r="C3646">
        <v>88</v>
      </c>
      <c r="D3646" t="str">
        <f>"GBP"</f>
        <v>GBP</v>
      </c>
      <c r="E3646" t="str">
        <f>"2014"</f>
        <v>2014</v>
      </c>
      <c r="F3646" t="str">
        <f>"Aliakbar Akbarzadeh"</f>
        <v>Aliakbar Akbarzadeh</v>
      </c>
      <c r="G3646" t="str">
        <f>"AsarBartar"</f>
        <v>AsarBartar</v>
      </c>
    </row>
    <row r="3647" spans="1:7" x14ac:dyDescent="0.25">
      <c r="A3647" t="str">
        <f>"SOLAR HYDROGEN GENERATION"</f>
        <v>SOLAR HYDROGEN GENERATION</v>
      </c>
      <c r="B3647" t="str">
        <f>"9780071701266"</f>
        <v>9780071701266</v>
      </c>
      <c r="C3647">
        <v>141.1</v>
      </c>
      <c r="D3647" t="str">
        <f>"USD"</f>
        <v>USD</v>
      </c>
      <c r="E3647" t="str">
        <f>"2012"</f>
        <v>2012</v>
      </c>
      <c r="F3647" t="str">
        <f>"GUO"</f>
        <v>GUO</v>
      </c>
      <c r="G3647" t="str">
        <f>"safirketab"</f>
        <v>safirketab</v>
      </c>
    </row>
    <row r="3648" spans="1:7" x14ac:dyDescent="0.25">
      <c r="A3648" t="str">
        <f>"Solar Radiation, HB,          'NEW'"</f>
        <v>Solar Radiation, HB,          'NEW'</v>
      </c>
      <c r="B3648" t="str">
        <f>"9789535103844"</f>
        <v>9789535103844</v>
      </c>
      <c r="C3648">
        <v>75</v>
      </c>
      <c r="D3648" t="str">
        <f>"USD"</f>
        <v>USD</v>
      </c>
      <c r="E3648" t="str">
        <f>"2014"</f>
        <v>2014</v>
      </c>
      <c r="F3648" t="str">
        <f>"Babatunde E. B."</f>
        <v>Babatunde E. B.</v>
      </c>
      <c r="G3648" t="str">
        <f>"supply"</f>
        <v>supply</v>
      </c>
    </row>
    <row r="3649" spans="1:7" x14ac:dyDescent="0.25">
      <c r="A3649" t="str">
        <f>"Solid Waste Recycling and Processing, Planning of Solid Waste Recycling Facilities and Programs, 2nd Edition"</f>
        <v>Solid Waste Recycling and Processing, Planning of Solid Waste Recycling Facilities and Programs, 2nd Edition</v>
      </c>
      <c r="B3649" t="str">
        <f>"9780128100820"</f>
        <v>9780128100820</v>
      </c>
      <c r="C3649">
        <v>134.1</v>
      </c>
      <c r="D3649" t="str">
        <f>"USD"</f>
        <v>USD</v>
      </c>
      <c r="E3649" t="str">
        <f>"2017"</f>
        <v>2017</v>
      </c>
      <c r="F3649" t="str">
        <f>"Rogoff"</f>
        <v>Rogoff</v>
      </c>
      <c r="G3649" t="str">
        <f>"dehkadehketab"</f>
        <v>dehkadehketab</v>
      </c>
    </row>
    <row r="3650" spans="1:7" x14ac:dyDescent="0.25">
      <c r="A3650" t="str">
        <f>"Spatial Analysis of Coastal Environments"</f>
        <v>Spatial Analysis of Coastal Environments</v>
      </c>
      <c r="B3650" t="str">
        <f>"9781107070479"</f>
        <v>9781107070479</v>
      </c>
      <c r="C3650">
        <v>38.299999999999997</v>
      </c>
      <c r="D3650" t="str">
        <f>"GBP"</f>
        <v>GBP</v>
      </c>
      <c r="E3650" t="str">
        <f>"2017"</f>
        <v>2017</v>
      </c>
      <c r="F3650" t="str">
        <f>"Hamylton"</f>
        <v>Hamylton</v>
      </c>
      <c r="G3650" t="str">
        <f>"arzinbooks"</f>
        <v>arzinbooks</v>
      </c>
    </row>
    <row r="3651" spans="1:7" x14ac:dyDescent="0.25">
      <c r="A3651" t="str">
        <f>"Spatial Analysis Techniques Using MyGeoffice?"</f>
        <v>Spatial Analysis Techniques Using MyGeoffice?</v>
      </c>
      <c r="B3651" t="str">
        <f>"9781522532705"</f>
        <v>9781522532705</v>
      </c>
      <c r="C3651">
        <v>180</v>
      </c>
      <c r="D3651" t="str">
        <f t="shared" ref="D3651:D3656" si="202">"USD"</f>
        <v>USD</v>
      </c>
      <c r="E3651" t="str">
        <f>"2018"</f>
        <v>2018</v>
      </c>
      <c r="F3651" t="str">
        <f>"Jo?o Garrott Marques"</f>
        <v>Jo?o Garrott Marques</v>
      </c>
      <c r="G3651" t="str">
        <f>"arzinbooks"</f>
        <v>arzinbooks</v>
      </c>
    </row>
    <row r="3652" spans="1:7" x14ac:dyDescent="0.25">
      <c r="A3652" t="str">
        <f>"Spatial and Spatio-Temporal Geostatistical Modeling and Kriging"</f>
        <v>Spatial and Spatio-Temporal Geostatistical Modeling and Kriging</v>
      </c>
      <c r="B3652" t="str">
        <f>"9781118413180"</f>
        <v>9781118413180</v>
      </c>
      <c r="C3652">
        <v>68</v>
      </c>
      <c r="D3652" t="str">
        <f t="shared" si="202"/>
        <v>USD</v>
      </c>
      <c r="E3652" t="str">
        <f>"2015"</f>
        <v>2015</v>
      </c>
      <c r="F3652" t="str">
        <f>"AvilÃ©"</f>
        <v>AvilÃ©</v>
      </c>
      <c r="G3652" t="str">
        <f>"avanddanesh"</f>
        <v>avanddanesh</v>
      </c>
    </row>
    <row r="3653" spans="1:7" x14ac:dyDescent="0.25">
      <c r="A3653" t="str">
        <f>"Special Papers in Palaeontology, No. 77, Evolution and Palaeobiology of Early Sauropodomorph Dinosaurs"</f>
        <v>Special Papers in Palaeontology, No. 77, Evolution and Palaeobiology of Early Sauropodomorph Dinosaurs</v>
      </c>
      <c r="B3653" t="str">
        <f>"9781405169332"</f>
        <v>9781405169332</v>
      </c>
      <c r="C3653">
        <v>79.17</v>
      </c>
      <c r="D3653" t="str">
        <f t="shared" si="202"/>
        <v>USD</v>
      </c>
      <c r="E3653" t="str">
        <f>"2007"</f>
        <v>2007</v>
      </c>
      <c r="F3653" t="str">
        <f>"Barrett"</f>
        <v>Barrett</v>
      </c>
      <c r="G3653" t="str">
        <f>"safirketab"</f>
        <v>safirketab</v>
      </c>
    </row>
    <row r="3654" spans="1:7" x14ac:dyDescent="0.25">
      <c r="A3654" t="str">
        <f>"Special Papers in Palaeontology, No. 78, Graptolites from the Upper Ordovician and Lower Silurian of Jordan"</f>
        <v>Special Papers in Palaeontology, No. 78, Graptolites from the Upper Ordovician and Lower Silurian of Jordan</v>
      </c>
      <c r="B3654" t="str">
        <f>"9781405179782"</f>
        <v>9781405179782</v>
      </c>
      <c r="C3654">
        <v>79.17</v>
      </c>
      <c r="D3654" t="str">
        <f t="shared" si="202"/>
        <v>USD</v>
      </c>
      <c r="E3654" t="str">
        <f>"2007"</f>
        <v>2007</v>
      </c>
      <c r="F3654" t="str">
        <f>"Loydell"</f>
        <v>Loydell</v>
      </c>
      <c r="G3654" t="str">
        <f>"safirketab"</f>
        <v>safirketab</v>
      </c>
    </row>
    <row r="3655" spans="1:7" x14ac:dyDescent="0.25">
      <c r="A3655" t="str">
        <f>"Species Conservation in Managed Habitats: The Myth of a Pristine Nature"</f>
        <v>Species Conservation in Managed Habitats: The Myth of a Pristine Nature</v>
      </c>
      <c r="B3655" t="str">
        <f>"9783527338450"</f>
        <v>9783527338450</v>
      </c>
      <c r="C3655">
        <v>93.5</v>
      </c>
      <c r="D3655" t="str">
        <f t="shared" si="202"/>
        <v>USD</v>
      </c>
      <c r="E3655" t="str">
        <f>"2016"</f>
        <v>2016</v>
      </c>
      <c r="F3655" t="str">
        <f>"Kunz"</f>
        <v>Kunz</v>
      </c>
      <c r="G3655" t="str">
        <f>"avanddanesh"</f>
        <v>avanddanesh</v>
      </c>
    </row>
    <row r="3656" spans="1:7" x14ac:dyDescent="0.25">
      <c r="A3656" t="str">
        <f>"Speleothem Science: From Process to Past Environments"</f>
        <v>Speleothem Science: From Process to Past Environments</v>
      </c>
      <c r="B3656" t="str">
        <f>"9781405196208"</f>
        <v>9781405196208</v>
      </c>
      <c r="C3656">
        <v>51</v>
      </c>
      <c r="D3656" t="str">
        <f t="shared" si="202"/>
        <v>USD</v>
      </c>
      <c r="E3656" t="str">
        <f>"2012"</f>
        <v>2012</v>
      </c>
      <c r="F3656" t="str">
        <f>"Fairchild"</f>
        <v>Fairchild</v>
      </c>
      <c r="G3656" t="str">
        <f>"avanddanesh"</f>
        <v>avanddanesh</v>
      </c>
    </row>
    <row r="3657" spans="1:7" x14ac:dyDescent="0.25">
      <c r="A3657" t="str">
        <f>"Stakeholders and Scientists: Achieving Implementable Solutions to Energy and Environmental Issues"</f>
        <v>Stakeholders and Scientists: Achieving Implementable Solutions to Energy and Environmental Issues</v>
      </c>
      <c r="B3657" t="str">
        <f>"9781441988126"</f>
        <v>9781441988126</v>
      </c>
      <c r="C3657">
        <v>143.99</v>
      </c>
      <c r="D3657" t="str">
        <f>"EUR"</f>
        <v>EUR</v>
      </c>
      <c r="E3657" t="str">
        <f>"2011"</f>
        <v>2011</v>
      </c>
      <c r="F3657" t="str">
        <f>"Burger"</f>
        <v>Burger</v>
      </c>
      <c r="G3657" t="str">
        <f>"negarestanabi"</f>
        <v>negarestanabi</v>
      </c>
    </row>
    <row r="3658" spans="1:7" x14ac:dyDescent="0.25">
      <c r="A3658" t="str">
        <f>"Statistical Implications of Turing's Formula"</f>
        <v>Statistical Implications of Turing's Formula</v>
      </c>
      <c r="B3658" t="str">
        <f>"9781119237068"</f>
        <v>9781119237068</v>
      </c>
      <c r="C3658">
        <v>106.3</v>
      </c>
      <c r="D3658" t="str">
        <f>"USD"</f>
        <v>USD</v>
      </c>
      <c r="E3658" t="str">
        <f>"2016"</f>
        <v>2016</v>
      </c>
      <c r="F3658" t="str">
        <f>"Zhang"</f>
        <v>Zhang</v>
      </c>
      <c r="G3658" t="str">
        <f>"avanddanesh"</f>
        <v>avanddanesh</v>
      </c>
    </row>
    <row r="3659" spans="1:7" x14ac:dyDescent="0.25">
      <c r="A3659" t="str">
        <f>"Strategies for Bioremediation of Organic and Inorganic Pollutants"</f>
        <v>Strategies for Bioremediation of Organic and Inorganic Pollutants</v>
      </c>
      <c r="B3659" t="str">
        <f>"9781138626379"</f>
        <v>9781138626379</v>
      </c>
      <c r="C3659">
        <v>108.9</v>
      </c>
      <c r="D3659" t="str">
        <f>"GBP"</f>
        <v>GBP</v>
      </c>
      <c r="E3659" t="str">
        <f>"2018"</f>
        <v>2018</v>
      </c>
      <c r="F3659" t="str">
        <f>"Fuentes"</f>
        <v>Fuentes</v>
      </c>
      <c r="G3659" t="str">
        <f>"sal"</f>
        <v>sal</v>
      </c>
    </row>
    <row r="3660" spans="1:7" x14ac:dyDescent="0.25">
      <c r="A3660" t="str">
        <f>"Strategies for Increasing Diversity in Engineering Majors and Careers"</f>
        <v>Strategies for Increasing Diversity in Engineering Majors and Careers</v>
      </c>
      <c r="B3660" t="str">
        <f>"9781522522126"</f>
        <v>9781522522126</v>
      </c>
      <c r="C3660">
        <v>142.5</v>
      </c>
      <c r="D3660" t="str">
        <f>"USD"</f>
        <v>USD</v>
      </c>
      <c r="E3660" t="str">
        <f>"2017"</f>
        <v>2017</v>
      </c>
      <c r="F3660" t="str">
        <f>"Monica Gray"</f>
        <v>Monica Gray</v>
      </c>
      <c r="G3660" t="str">
        <f>"arzinbooks"</f>
        <v>arzinbooks</v>
      </c>
    </row>
    <row r="3661" spans="1:7" x14ac:dyDescent="0.25">
      <c r="A3661" t="str">
        <f>"Stress and Environmental Regulation of Gene Expression and Adaptation in Bacteria, 2V Set"</f>
        <v>Stress and Environmental Regulation of Gene Expression and Adaptation in Bacteria, 2V Set</v>
      </c>
      <c r="B3661" t="str">
        <f>"9781119004882"</f>
        <v>9781119004882</v>
      </c>
      <c r="C3661">
        <v>467.5</v>
      </c>
      <c r="D3661" t="str">
        <f>"USD"</f>
        <v>USD</v>
      </c>
      <c r="E3661" t="str">
        <f>"2016"</f>
        <v>2016</v>
      </c>
      <c r="F3661" t="str">
        <f>"de Bruijn"</f>
        <v>de Bruijn</v>
      </c>
      <c r="G3661" t="str">
        <f>"avanddanesh"</f>
        <v>avanddanesh</v>
      </c>
    </row>
    <row r="3662" spans="1:7" x14ac:dyDescent="0.25">
      <c r="A3662" t="str">
        <f>"Structured Decision Making: A Practical Guide to Environmental Management Choices"</f>
        <v>Structured Decision Making: A Practical Guide to Environmental Management Choices</v>
      </c>
      <c r="B3662" t="str">
        <f>"9781444333428"</f>
        <v>9781444333428</v>
      </c>
      <c r="C3662">
        <v>36</v>
      </c>
      <c r="D3662" t="str">
        <f>"USD"</f>
        <v>USD</v>
      </c>
      <c r="E3662" t="str">
        <f>"2012"</f>
        <v>2012</v>
      </c>
      <c r="F3662" t="str">
        <f>"Gregory"</f>
        <v>Gregory</v>
      </c>
      <c r="G3662" t="str">
        <f>"avanddanesh"</f>
        <v>avanddanesh</v>
      </c>
    </row>
    <row r="3663" spans="1:7" x14ac:dyDescent="0.25">
      <c r="A3663" t="str">
        <f>"Submerged Landscapes of the European Continental Shelf: Quaternary Paleoenvironments"</f>
        <v>Submerged Landscapes of the European Continental Shelf: Quaternary Paleoenvironments</v>
      </c>
      <c r="B3663" t="str">
        <f>"9781118922132"</f>
        <v>9781118922132</v>
      </c>
      <c r="C3663">
        <v>90</v>
      </c>
      <c r="D3663" t="str">
        <f>"USD"</f>
        <v>USD</v>
      </c>
      <c r="E3663" t="str">
        <f>"2017"</f>
        <v>2017</v>
      </c>
      <c r="F3663" t="str">
        <f>"Bailey"</f>
        <v>Bailey</v>
      </c>
      <c r="G3663" t="str">
        <f>"avanddanesh"</f>
        <v>avanddanesh</v>
      </c>
    </row>
    <row r="3664" spans="1:7" x14ac:dyDescent="0.25">
      <c r="A3664" t="str">
        <f>"Sun Above the Horizon: Meteoric Rise of the Solar Industry (Pan Stanford Series on Renewable Energy)"</f>
        <v>Sun Above the Horizon: Meteoric Rise of the Solar Industry (Pan Stanford Series on Renewable Energy)</v>
      </c>
      <c r="B3664" t="str">
        <f>"9789814463805"</f>
        <v>9789814463805</v>
      </c>
      <c r="C3664">
        <v>38.4</v>
      </c>
      <c r="D3664" t="str">
        <f>"GBP"</f>
        <v>GBP</v>
      </c>
      <c r="E3664" t="str">
        <f>"2014"</f>
        <v>2014</v>
      </c>
      <c r="F3664" t="str">
        <f>"Peter F. Varadi"</f>
        <v>Peter F. Varadi</v>
      </c>
      <c r="G3664" t="str">
        <f>"AsarBartar"</f>
        <v>AsarBartar</v>
      </c>
    </row>
    <row r="3665" spans="1:7" x14ac:dyDescent="0.25">
      <c r="A3665" t="str">
        <f>"SURFACE MODELING : HIGH ACCURACY AND HIGH SPEED METHODS"</f>
        <v>SURFACE MODELING : HIGH ACCURACY AND HIGH SPEED METHODS</v>
      </c>
      <c r="B3665" t="str">
        <f>"9781439817582"</f>
        <v>9781439817582</v>
      </c>
      <c r="C3665">
        <v>24.6</v>
      </c>
      <c r="D3665" t="str">
        <f>"GBP"</f>
        <v>GBP</v>
      </c>
      <c r="E3665" t="str">
        <f>"2011"</f>
        <v>2011</v>
      </c>
      <c r="F3665" t="str">
        <f>"YUE"</f>
        <v>YUE</v>
      </c>
      <c r="G3665" t="str">
        <f>"AsarBartar"</f>
        <v>AsarBartar</v>
      </c>
    </row>
    <row r="3666" spans="1:7" x14ac:dyDescent="0.25">
      <c r="A3666" t="str">
        <f>"Surface Modified Carbons as Scavengers for Fluoride from Water"</f>
        <v>Surface Modified Carbons as Scavengers for Fluoride from Water</v>
      </c>
      <c r="B3666" t="str">
        <f>"9783319406848"</f>
        <v>9783319406848</v>
      </c>
      <c r="C3666">
        <v>125.99</v>
      </c>
      <c r="D3666" t="str">
        <f>"EUR"</f>
        <v>EUR</v>
      </c>
      <c r="E3666" t="str">
        <f>"2016"</f>
        <v>2016</v>
      </c>
      <c r="F3666" t="str">
        <f>"Sivasankar"</f>
        <v>Sivasankar</v>
      </c>
      <c r="G3666" t="str">
        <f>"negarestanabi"</f>
        <v>negarestanabi</v>
      </c>
    </row>
    <row r="3667" spans="1:7" x14ac:dyDescent="0.25">
      <c r="A3667" t="str">
        <f>"Surface Water Photochemistry"</f>
        <v>Surface Water Photochemistry</v>
      </c>
      <c r="B3667" t="str">
        <f>"9781782620433"</f>
        <v>9781782620433</v>
      </c>
      <c r="C3667">
        <v>103.4</v>
      </c>
      <c r="D3667" t="str">
        <f>"GBP"</f>
        <v>GBP</v>
      </c>
      <c r="E3667" t="str">
        <f>"2016"</f>
        <v>2016</v>
      </c>
      <c r="F3667" t="str">
        <f>"Calza, Vione"</f>
        <v>Calza, Vione</v>
      </c>
      <c r="G3667" t="str">
        <f>"arzinbooks"</f>
        <v>arzinbooks</v>
      </c>
    </row>
    <row r="3668" spans="1:7" x14ac:dyDescent="0.25">
      <c r="A3668" t="str">
        <f>"Surveillance and Space"</f>
        <v>Surveillance and Space</v>
      </c>
      <c r="B3668" t="str">
        <f>"9781473907775"</f>
        <v>9781473907775</v>
      </c>
      <c r="C3668">
        <v>18.739999999999998</v>
      </c>
      <c r="D3668" t="str">
        <f>"GBP"</f>
        <v>GBP</v>
      </c>
      <c r="E3668" t="str">
        <f>"2016"</f>
        <v>2016</v>
      </c>
      <c r="F3668" t="str">
        <f>"Francisco R Kla"</f>
        <v>Francisco R Kla</v>
      </c>
      <c r="G3668" t="str">
        <f>"kowkab"</f>
        <v>kowkab</v>
      </c>
    </row>
    <row r="3669" spans="1:7" x14ac:dyDescent="0.25">
      <c r="A3669" t="str">
        <f>"Surveillance and Space"</f>
        <v>Surveillance and Space</v>
      </c>
      <c r="B3669" t="str">
        <f>"9781473907768"</f>
        <v>9781473907768</v>
      </c>
      <c r="C3669">
        <v>56.25</v>
      </c>
      <c r="D3669" t="str">
        <f>"GBP"</f>
        <v>GBP</v>
      </c>
      <c r="E3669" t="str">
        <f>"2016"</f>
        <v>2016</v>
      </c>
      <c r="F3669" t="str">
        <f>"Francisco R Kla"</f>
        <v>Francisco R Kla</v>
      </c>
      <c r="G3669" t="str">
        <f>"kowkab"</f>
        <v>kowkab</v>
      </c>
    </row>
    <row r="3670" spans="1:7" x14ac:dyDescent="0.25">
      <c r="A3670" t="str">
        <f>"Surveillance and Space"</f>
        <v>Surveillance and Space</v>
      </c>
      <c r="B3670" t="str">
        <f>"9781473907775"</f>
        <v>9781473907775</v>
      </c>
      <c r="C3670">
        <v>18.7</v>
      </c>
      <c r="D3670" t="str">
        <f>"GBP"</f>
        <v>GBP</v>
      </c>
      <c r="E3670" t="str">
        <f>"2017"</f>
        <v>2017</v>
      </c>
      <c r="F3670" t="str">
        <f>"Francisco R Klauser"</f>
        <v>Francisco R Klauser</v>
      </c>
      <c r="G3670" t="str">
        <f>"arzinbooks"</f>
        <v>arzinbooks</v>
      </c>
    </row>
    <row r="3671" spans="1:7" x14ac:dyDescent="0.25">
      <c r="A3671" t="str">
        <f>"Sustainability ; 5 Volumes Set"</f>
        <v>Sustainability ; 5 Volumes Set</v>
      </c>
      <c r="B3671" t="str">
        <f>"9781782620990"</f>
        <v>9781782620990</v>
      </c>
      <c r="C3671">
        <v>363</v>
      </c>
      <c r="D3671" t="str">
        <f>"GBP"</f>
        <v>GBP</v>
      </c>
      <c r="E3671" t="str">
        <f>"2014"</f>
        <v>2014</v>
      </c>
      <c r="F3671" t="str">
        <f>"Royal Society of Che"</f>
        <v>Royal Society of Che</v>
      </c>
      <c r="G3671" t="str">
        <f>"arzinbooks"</f>
        <v>arzinbooks</v>
      </c>
    </row>
    <row r="3672" spans="1:7" x14ac:dyDescent="0.25">
      <c r="A3672" t="str">
        <f>"Sustainability Science: Field Methods and Exercises"</f>
        <v>Sustainability Science: Field Methods and Exercises</v>
      </c>
      <c r="B3672" t="str">
        <f>"9783319329291"</f>
        <v>9783319329291</v>
      </c>
      <c r="C3672">
        <v>107.99</v>
      </c>
      <c r="D3672" t="str">
        <f>"EUR"</f>
        <v>EUR</v>
      </c>
      <c r="E3672" t="str">
        <f>"2016"</f>
        <v>2016</v>
      </c>
      <c r="F3672" t="str">
        <f>"Esteban"</f>
        <v>Esteban</v>
      </c>
      <c r="G3672" t="str">
        <f>"negarestanabi"</f>
        <v>negarestanabi</v>
      </c>
    </row>
    <row r="3673" spans="1:7" x14ac:dyDescent="0.25">
      <c r="A3673" t="str">
        <f>"Sustainability Through Innovation in Product Life Cycle Design"</f>
        <v>Sustainability Through Innovation in Product Life Cycle Design</v>
      </c>
      <c r="B3673" t="str">
        <f>"9789811004698"</f>
        <v>9789811004698</v>
      </c>
      <c r="C3673">
        <v>224.99</v>
      </c>
      <c r="D3673" t="str">
        <f>"EUR"</f>
        <v>EUR</v>
      </c>
      <c r="E3673" t="str">
        <f>"2017"</f>
        <v>2017</v>
      </c>
      <c r="F3673" t="str">
        <f>"Matsumoto"</f>
        <v>Matsumoto</v>
      </c>
      <c r="G3673" t="str">
        <f>"negarestanabi"</f>
        <v>negarestanabi</v>
      </c>
    </row>
    <row r="3674" spans="1:7" x14ac:dyDescent="0.25">
      <c r="A3674" t="str">
        <f>"Sustainable Aquaculture"</f>
        <v>Sustainable Aquaculture</v>
      </c>
      <c r="B3674" t="str">
        <f>"9783319732565"</f>
        <v>9783319732565</v>
      </c>
      <c r="C3674">
        <v>134.99</v>
      </c>
      <c r="D3674" t="str">
        <f>"EUR"</f>
        <v>EUR</v>
      </c>
      <c r="E3674" t="str">
        <f>"2018"</f>
        <v>2018</v>
      </c>
      <c r="F3674" t="str">
        <f>"Visvanathan"</f>
        <v>Visvanathan</v>
      </c>
      <c r="G3674" t="str">
        <f>"negarestanabi"</f>
        <v>negarestanabi</v>
      </c>
    </row>
    <row r="3675" spans="1:7" x14ac:dyDescent="0.25">
      <c r="A3675" t="str">
        <f>"SUSTAINABLE BIO-MEDICAL WASTE MANAGEMENT, Set of 2 vols, HB"</f>
        <v>SUSTAINABLE BIO-MEDICAL WASTE MANAGEMENT, Set of 2 vols, HB</v>
      </c>
      <c r="B3675" t="str">
        <f>"9788178885681"</f>
        <v>9788178885681</v>
      </c>
      <c r="C3675">
        <v>54.67</v>
      </c>
      <c r="D3675" t="str">
        <f>"USD"</f>
        <v>USD</v>
      </c>
      <c r="E3675" t="str">
        <f>"2009"</f>
        <v>2009</v>
      </c>
      <c r="F3675" t="str">
        <f>"Behera "</f>
        <v xml:space="preserve">Behera </v>
      </c>
      <c r="G3675" t="str">
        <f>"supply"</f>
        <v>supply</v>
      </c>
    </row>
    <row r="3676" spans="1:7" x14ac:dyDescent="0.25">
      <c r="A3676" t="str">
        <f>"SUSTAINABLE CHEMISTRY, HB"</f>
        <v>SUSTAINABLE CHEMISTRY, HB</v>
      </c>
      <c r="B3676" t="str">
        <f>"9781845645588"</f>
        <v>9781845645588</v>
      </c>
      <c r="C3676">
        <v>81.900000000000006</v>
      </c>
      <c r="D3676" t="str">
        <f>"GBP"</f>
        <v>GBP</v>
      </c>
      <c r="E3676" t="str">
        <f>"2011"</f>
        <v>2011</v>
      </c>
      <c r="F3676" t="str">
        <f>"Reniers"</f>
        <v>Reniers</v>
      </c>
      <c r="G3676" t="str">
        <f>"supply"</f>
        <v>supply</v>
      </c>
    </row>
    <row r="3677" spans="1:7" x14ac:dyDescent="0.25">
      <c r="A3677" t="str">
        <f>"Sustainable Cities : Assessing the Performance and Practice of Urban Environments"</f>
        <v>Sustainable Cities : Assessing the Performance and Practice of Urban Environments</v>
      </c>
      <c r="B3677" t="str">
        <f>"9781784532321"</f>
        <v>9781784532321</v>
      </c>
      <c r="C3677">
        <v>58.5</v>
      </c>
      <c r="D3677" t="str">
        <f>"GBP"</f>
        <v>GBP</v>
      </c>
      <c r="E3677" t="str">
        <f>"2016"</f>
        <v>2016</v>
      </c>
      <c r="F3677" t="str">
        <f>"PIERRE LACONTE AND C"</f>
        <v>PIERRE LACONTE AND C</v>
      </c>
      <c r="G3677" t="str">
        <f>"arzinbooks"</f>
        <v>arzinbooks</v>
      </c>
    </row>
    <row r="3678" spans="1:7" x14ac:dyDescent="0.25">
      <c r="A3678" t="str">
        <f>"Sustainable Desalination Handbook, Plant Selection, Design and Implementation"</f>
        <v>Sustainable Desalination Handbook, Plant Selection, Design and Implementation</v>
      </c>
      <c r="B3678" t="str">
        <f>"9780128092156"</f>
        <v>9780128092156</v>
      </c>
      <c r="C3678">
        <v>162</v>
      </c>
      <c r="D3678" t="str">
        <f>"USD"</f>
        <v>USD</v>
      </c>
      <c r="E3678" t="str">
        <f>"2018"</f>
        <v>2018</v>
      </c>
      <c r="F3678" t="str">
        <f>"Gude"</f>
        <v>Gude</v>
      </c>
      <c r="G3678" t="str">
        <f>"dehkadehketab"</f>
        <v>dehkadehketab</v>
      </c>
    </row>
    <row r="3679" spans="1:7" x14ac:dyDescent="0.25">
      <c r="A3679" t="str">
        <f>"SUSTAINABLE DEVELOPMENT (SOCIAL ENVIRONMENTAL SUSTAINAB"</f>
        <v>SUSTAINABLE DEVELOPMENT (SOCIAL ENVIRONMENTAL SUSTAINAB</v>
      </c>
      <c r="B3679" t="str">
        <f>"9781439820629"</f>
        <v>9781439820629</v>
      </c>
      <c r="C3679">
        <v>16.190000000000001</v>
      </c>
      <c r="D3679" t="str">
        <f>"GBP"</f>
        <v>GBP</v>
      </c>
      <c r="E3679" t="str">
        <f>"2010"</f>
        <v>2010</v>
      </c>
      <c r="F3679" t="str">
        <f>"MICHAEL REICHENBACH"</f>
        <v>MICHAEL REICHENBACH</v>
      </c>
      <c r="G3679" t="str">
        <f>"AsarBartar"</f>
        <v>AsarBartar</v>
      </c>
    </row>
    <row r="3680" spans="1:7" x14ac:dyDescent="0.25">
      <c r="A3680" t="str">
        <f>"Sustainable Development and Renovation in Architecture. Urbanism and Engineering"</f>
        <v>Sustainable Development and Renovation in Architecture. Urbanism and Engineering</v>
      </c>
      <c r="B3680" t="str">
        <f>"9783319514413"</f>
        <v>9783319514413</v>
      </c>
      <c r="C3680">
        <v>134.99</v>
      </c>
      <c r="D3680" t="str">
        <f>"EUR"</f>
        <v>EUR</v>
      </c>
      <c r="E3680" t="str">
        <f>"2017"</f>
        <v>2017</v>
      </c>
      <c r="F3680" t="str">
        <f>"Mercader-Moyano"</f>
        <v>Mercader-Moyano</v>
      </c>
      <c r="G3680" t="str">
        <f>"negarestanabi"</f>
        <v>negarestanabi</v>
      </c>
    </row>
    <row r="3681" spans="1:7" x14ac:dyDescent="0.25">
      <c r="A3681" t="str">
        <f>"Sustainable Economic Development: Green Economy and Green Growth"</f>
        <v>Sustainable Economic Development: Green Economy and Green Growth</v>
      </c>
      <c r="B3681" t="str">
        <f>"9783319450797"</f>
        <v>9783319450797</v>
      </c>
      <c r="C3681">
        <v>134.99</v>
      </c>
      <c r="D3681" t="str">
        <f>"EUR"</f>
        <v>EUR</v>
      </c>
      <c r="E3681" t="str">
        <f>"2017"</f>
        <v>2017</v>
      </c>
      <c r="F3681" t="str">
        <f>"Leal Filho"</f>
        <v>Leal Filho</v>
      </c>
      <c r="G3681" t="str">
        <f>"negarestanabi"</f>
        <v>negarestanabi</v>
      </c>
    </row>
    <row r="3682" spans="1:7" x14ac:dyDescent="0.25">
      <c r="A3682" t="str">
        <f>"Sustainable Future for Human Security : Environment and Resources"</f>
        <v>Sustainable Future for Human Security : Environment and Resources</v>
      </c>
      <c r="B3682" t="str">
        <f>"9789811054297"</f>
        <v>9789811054297</v>
      </c>
      <c r="C3682">
        <v>107.99</v>
      </c>
      <c r="D3682" t="str">
        <f>"EUR"</f>
        <v>EUR</v>
      </c>
      <c r="E3682" t="str">
        <f>"2018"</f>
        <v>2018</v>
      </c>
      <c r="F3682" t="str">
        <f>"McLellan"</f>
        <v>McLellan</v>
      </c>
      <c r="G3682" t="str">
        <f>"negarestanabi"</f>
        <v>negarestanabi</v>
      </c>
    </row>
    <row r="3683" spans="1:7" x14ac:dyDescent="0.25">
      <c r="A3683" t="str">
        <f>"Sustainable Future for Human Security: Society. Cities and Governance"</f>
        <v>Sustainable Future for Human Security: Society. Cities and Governance</v>
      </c>
      <c r="B3683" t="str">
        <f>"9789811054327"</f>
        <v>9789811054327</v>
      </c>
      <c r="C3683">
        <v>134.99</v>
      </c>
      <c r="D3683" t="str">
        <f>"EUR"</f>
        <v>EUR</v>
      </c>
      <c r="E3683" t="str">
        <f>"2018"</f>
        <v>2018</v>
      </c>
      <c r="F3683" t="str">
        <f>"McLellan"</f>
        <v>McLellan</v>
      </c>
      <c r="G3683" t="str">
        <f>"negarestanabi"</f>
        <v>negarestanabi</v>
      </c>
    </row>
    <row r="3684" spans="1:7" x14ac:dyDescent="0.25">
      <c r="A3684" t="str">
        <f>"SUSTAINABLE GROUNDWATER RESOURCES IN AFRICA"</f>
        <v>SUSTAINABLE GROUNDWATER RESOURCES IN AFRICA</v>
      </c>
      <c r="B3684" t="str">
        <f>"9780415876032"</f>
        <v>9780415876032</v>
      </c>
      <c r="C3684">
        <v>29.7</v>
      </c>
      <c r="D3684" t="str">
        <f>"GBP"</f>
        <v>GBP</v>
      </c>
      <c r="E3684" t="str">
        <f>"2010"</f>
        <v>2010</v>
      </c>
      <c r="F3684" t="str">
        <f>"EBERHARD BRAUNE(EDI"</f>
        <v>EBERHARD BRAUNE(EDI</v>
      </c>
      <c r="G3684" t="str">
        <f>"AsarBartar"</f>
        <v>AsarBartar</v>
      </c>
    </row>
    <row r="3685" spans="1:7" x14ac:dyDescent="0.25">
      <c r="A3685" t="str">
        <f>"Sustainable Heavy Metal Remediation: Volume 1: Principles and Processes"</f>
        <v>Sustainable Heavy Metal Remediation: Volume 1: Principles and Processes</v>
      </c>
      <c r="B3685" t="str">
        <f>"9783319586212"</f>
        <v>9783319586212</v>
      </c>
      <c r="C3685">
        <v>134.99</v>
      </c>
      <c r="D3685" t="str">
        <f>"EUR"</f>
        <v>EUR</v>
      </c>
      <c r="E3685" t="str">
        <f>"2017"</f>
        <v>2017</v>
      </c>
      <c r="F3685" t="str">
        <f>"Rene"</f>
        <v>Rene</v>
      </c>
      <c r="G3685" t="str">
        <f>"negarestanabi"</f>
        <v>negarestanabi</v>
      </c>
    </row>
    <row r="3686" spans="1:7" x14ac:dyDescent="0.25">
      <c r="A3686" t="str">
        <f>"Sustainable Heavy Metal Remediation: Volume 2: Case studies"</f>
        <v>Sustainable Heavy Metal Remediation: Volume 2: Case studies</v>
      </c>
      <c r="B3686" t="str">
        <f>"9783319611457"</f>
        <v>9783319611457</v>
      </c>
      <c r="C3686">
        <v>134.99</v>
      </c>
      <c r="D3686" t="str">
        <f>"EUR"</f>
        <v>EUR</v>
      </c>
      <c r="E3686" t="str">
        <f>"2017"</f>
        <v>2017</v>
      </c>
      <c r="F3686" t="str">
        <f>"Rene"</f>
        <v>Rene</v>
      </c>
      <c r="G3686" t="str">
        <f>"negarestanabi"</f>
        <v>negarestanabi</v>
      </c>
    </row>
    <row r="3687" spans="1:7" x14ac:dyDescent="0.25">
      <c r="A3687" t="str">
        <f>"SUSTAINABLE IRRIGATION MANAGEMENT, TECHNOLOGIES AND POLICIES III, HB"</f>
        <v>SUSTAINABLE IRRIGATION MANAGEMENT, TECHNOLOGIES AND POLICIES III, HB</v>
      </c>
      <c r="B3687" t="str">
        <f>"9781845641160"</f>
        <v>9781845641160</v>
      </c>
      <c r="C3687">
        <v>106.4</v>
      </c>
      <c r="D3687" t="str">
        <f>"GBP"</f>
        <v>GBP</v>
      </c>
      <c r="E3687" t="str">
        <f>"2008"</f>
        <v>2008</v>
      </c>
      <c r="F3687" t="str">
        <f>"Esteve"</f>
        <v>Esteve</v>
      </c>
      <c r="G3687" t="str">
        <f>"supply"</f>
        <v>supply</v>
      </c>
    </row>
    <row r="3688" spans="1:7" x14ac:dyDescent="0.25">
      <c r="A3688" t="str">
        <f>"Sustainable Landscape Planning in Selected Urban Regions"</f>
        <v>Sustainable Landscape Planning in Selected Urban Regions</v>
      </c>
      <c r="B3688" t="str">
        <f>"9784431564430"</f>
        <v>9784431564430</v>
      </c>
      <c r="C3688">
        <v>107.99</v>
      </c>
      <c r="D3688" t="str">
        <f>"EUR"</f>
        <v>EUR</v>
      </c>
      <c r="E3688" t="str">
        <f>"2017"</f>
        <v>2017</v>
      </c>
      <c r="F3688" t="str">
        <f>"Yokohari"</f>
        <v>Yokohari</v>
      </c>
      <c r="G3688" t="str">
        <f>"negarestanabi"</f>
        <v>negarestanabi</v>
      </c>
    </row>
    <row r="3689" spans="1:7" x14ac:dyDescent="0.25">
      <c r="A3689" t="str">
        <f>"SUSTAINABLE LIVING, HB"</f>
        <v>SUSTAINABLE LIVING, HB</v>
      </c>
      <c r="B3689" t="str">
        <f>"9781926692098"</f>
        <v>9781926692098</v>
      </c>
      <c r="C3689">
        <v>93.1</v>
      </c>
      <c r="D3689" t="str">
        <f>"USD"</f>
        <v>USD</v>
      </c>
      <c r="E3689" t="str">
        <f>"2010"</f>
        <v>2010</v>
      </c>
      <c r="F3689" t="str">
        <f>"Covington"</f>
        <v>Covington</v>
      </c>
      <c r="G3689" t="str">
        <f>"supply"</f>
        <v>supply</v>
      </c>
    </row>
    <row r="3690" spans="1:7" x14ac:dyDescent="0.25">
      <c r="A3690" t="str">
        <f>"Sustainable Local Energy Planning and Decision Making: Emerging Research and Opportunities"</f>
        <v>Sustainable Local Energy Planning and Decision Making: Emerging Research and Opportunities</v>
      </c>
      <c r="B3690" t="str">
        <f>"9781522522867"</f>
        <v>9781522522867</v>
      </c>
      <c r="C3690">
        <v>112</v>
      </c>
      <c r="D3690" t="str">
        <f>"USD"</f>
        <v>USD</v>
      </c>
      <c r="E3690" t="str">
        <f>"2017"</f>
        <v>2017</v>
      </c>
      <c r="F3690" t="str">
        <f>"Vangelis Marinakis"</f>
        <v>Vangelis Marinakis</v>
      </c>
      <c r="G3690" t="str">
        <f>"arzinbooks"</f>
        <v>arzinbooks</v>
      </c>
    </row>
    <row r="3691" spans="1:7" x14ac:dyDescent="0.25">
      <c r="A3691" t="str">
        <f>"Sustainable Urban Development and Globalization: New strategies for new challengesâ€”with a focus on the Global South"</f>
        <v>Sustainable Urban Development and Globalization: New strategies for new challengesâ€”with a focus on the Global South</v>
      </c>
      <c r="B3691" t="str">
        <f>"9783319619873"</f>
        <v>9783319619873</v>
      </c>
      <c r="C3691">
        <v>134.99</v>
      </c>
      <c r="D3691" t="str">
        <f>"EUR"</f>
        <v>EUR</v>
      </c>
      <c r="E3691" t="str">
        <f>"2018"</f>
        <v>2018</v>
      </c>
      <c r="F3691" t="str">
        <f>"Petrillo"</f>
        <v>Petrillo</v>
      </c>
      <c r="G3691" t="str">
        <f>"negarestanabi"</f>
        <v>negarestanabi</v>
      </c>
    </row>
    <row r="3692" spans="1:7" x14ac:dyDescent="0.25">
      <c r="A3692" t="str">
        <f>"Sustainable Water Engineering: Theory and Practice"</f>
        <v>Sustainable Water Engineering: Theory and Practice</v>
      </c>
      <c r="B3692" t="str">
        <f>"9781118541043"</f>
        <v>9781118541043</v>
      </c>
      <c r="C3692">
        <v>97.5</v>
      </c>
      <c r="D3692" t="str">
        <f>"USD"</f>
        <v>USD</v>
      </c>
      <c r="E3692" t="str">
        <f>"2014"</f>
        <v>2014</v>
      </c>
      <c r="F3692" t="str">
        <f>"Chandrappa"</f>
        <v>Chandrappa</v>
      </c>
      <c r="G3692" t="str">
        <f>"avanddanesh"</f>
        <v>avanddanesh</v>
      </c>
    </row>
    <row r="3693" spans="1:7" x14ac:dyDescent="0.25">
      <c r="A3693" t="str">
        <f>"SUSTAINABLE WATER MANAGEMENT : Challenges, Technologies And Solutions, HB"</f>
        <v>SUSTAINABLE WATER MANAGEMENT : Challenges, Technologies And Solutions, HB</v>
      </c>
      <c r="B3693" t="str">
        <f>"9788182743892"</f>
        <v>9788182743892</v>
      </c>
      <c r="C3693">
        <v>34.86</v>
      </c>
      <c r="D3693" t="str">
        <f>"USD"</f>
        <v>USD</v>
      </c>
      <c r="E3693" t="str">
        <f>"2009"</f>
        <v>2009</v>
      </c>
      <c r="F3693" t="str">
        <f>"Sinha"</f>
        <v>Sinha</v>
      </c>
      <c r="G3693" t="str">
        <f>"supply"</f>
        <v>supply</v>
      </c>
    </row>
    <row r="3694" spans="1:7" x14ac:dyDescent="0.25">
      <c r="A3694" t="str">
        <f>"Sustainable Water Management in Urban Environments"</f>
        <v>Sustainable Water Management in Urban Environments</v>
      </c>
      <c r="B3694" t="str">
        <f>"9783319293356"</f>
        <v>9783319293356</v>
      </c>
      <c r="C3694">
        <v>251.99</v>
      </c>
      <c r="D3694" t="str">
        <f>"EUR"</f>
        <v>EUR</v>
      </c>
      <c r="E3694" t="str">
        <f>"2016"</f>
        <v>2016</v>
      </c>
      <c r="F3694" t="str">
        <f>"Younos"</f>
        <v>Younos</v>
      </c>
      <c r="G3694" t="str">
        <f>"negarestanabi"</f>
        <v>negarestanabi</v>
      </c>
    </row>
    <row r="3695" spans="1:7" x14ac:dyDescent="0.25">
      <c r="A3695" t="str">
        <f>"Sustainable Water Management: New Perspectives. Design. and Practices"</f>
        <v>Sustainable Water Management: New Perspectives. Design. and Practices</v>
      </c>
      <c r="B3695" t="str">
        <f>"9789811012020"</f>
        <v>9789811012020</v>
      </c>
      <c r="C3695">
        <v>98.99</v>
      </c>
      <c r="D3695" t="str">
        <f>"EUR"</f>
        <v>EUR</v>
      </c>
      <c r="E3695" t="str">
        <f>"2016"</f>
        <v>2016</v>
      </c>
      <c r="F3695" t="str">
        <f>"Nakagami"</f>
        <v>Nakagami</v>
      </c>
      <c r="G3695" t="str">
        <f>"negarestanabi"</f>
        <v>negarestanabi</v>
      </c>
    </row>
    <row r="3696" spans="1:7" x14ac:dyDescent="0.25">
      <c r="A3696" t="str">
        <f>"Sustainable Water Resources Management"</f>
        <v>Sustainable Water Resources Management</v>
      </c>
      <c r="B3696" t="str">
        <f>"9780784414767"</f>
        <v>9780784414767</v>
      </c>
      <c r="C3696">
        <v>216</v>
      </c>
      <c r="D3696" t="str">
        <f>"USD"</f>
        <v>USD</v>
      </c>
      <c r="E3696" t="str">
        <f>"2018"</f>
        <v>2018</v>
      </c>
      <c r="F3696" t="str">
        <f>"Chandra S.P. Ojha, R"</f>
        <v>Chandra S.P. Ojha, R</v>
      </c>
      <c r="G3696" t="str">
        <f>"arzinbooks"</f>
        <v>arzinbooks</v>
      </c>
    </row>
    <row r="3697" spans="1:7" x14ac:dyDescent="0.25">
      <c r="A3697" t="str">
        <f>"Sustainable Water Resources Planning and Management Under Climate Change"</f>
        <v>Sustainable Water Resources Planning and Management Under Climate Change</v>
      </c>
      <c r="B3697" t="str">
        <f>"9789811020490"</f>
        <v>9789811020490</v>
      </c>
      <c r="C3697">
        <v>116.99</v>
      </c>
      <c r="D3697" t="str">
        <f>"EUR"</f>
        <v>EUR</v>
      </c>
      <c r="E3697" t="str">
        <f>"2017"</f>
        <v>2017</v>
      </c>
      <c r="F3697" t="str">
        <f>"Kolokytha"</f>
        <v>Kolokytha</v>
      </c>
      <c r="G3697" t="str">
        <f>"negarestanabi"</f>
        <v>negarestanabi</v>
      </c>
    </row>
    <row r="3698" spans="1:7" x14ac:dyDescent="0.25">
      <c r="A3698" t="str">
        <f>"SUSTAINABLE WORLD, THE,  HB"</f>
        <v>SUSTAINABLE WORLD, THE,  HB</v>
      </c>
      <c r="B3698" t="str">
        <f>"9781845645045"</f>
        <v>9781845645045</v>
      </c>
      <c r="C3698">
        <v>217</v>
      </c>
      <c r="D3698" t="str">
        <f>"GBP"</f>
        <v>GBP</v>
      </c>
      <c r="E3698" t="str">
        <f>"2011"</f>
        <v>2011</v>
      </c>
      <c r="F3698" t="str">
        <f>"Brebbia"</f>
        <v>Brebbia</v>
      </c>
      <c r="G3698" t="str">
        <f>"supply"</f>
        <v>supply</v>
      </c>
    </row>
    <row r="3699" spans="1:7" x14ac:dyDescent="0.25">
      <c r="A3699" t="str">
        <f>"Sustaining Power Resources through Energy Optimization and Engineering"</f>
        <v>Sustaining Power Resources through Energy Optimization and Engineering</v>
      </c>
      <c r="B3699" t="str">
        <f>"9781466697553"</f>
        <v>9781466697553</v>
      </c>
      <c r="C3699">
        <v>139.80000000000001</v>
      </c>
      <c r="D3699" t="str">
        <f>"USD"</f>
        <v>USD</v>
      </c>
      <c r="E3699" t="str">
        <f>"2016"</f>
        <v>2016</v>
      </c>
      <c r="F3699" t="str">
        <f>"Pandian Vasant"</f>
        <v>Pandian Vasant</v>
      </c>
      <c r="G3699" t="str">
        <f>"arzinbooks"</f>
        <v>arzinbooks</v>
      </c>
    </row>
    <row r="3700" spans="1:7" x14ac:dyDescent="0.25">
      <c r="A3700" t="str">
        <f>"TAMING THE ANARCHY: GROUNDWATER GOVERNANCE IN SOUTH ASIA"</f>
        <v>TAMING THE ANARCHY: GROUNDWATER GOVERNANCE IN SOUTH ASIA</v>
      </c>
      <c r="B3700" t="str">
        <f>"9781933115603"</f>
        <v>9781933115603</v>
      </c>
      <c r="C3700">
        <v>14.99</v>
      </c>
      <c r="D3700" t="str">
        <f>"GBP"</f>
        <v>GBP</v>
      </c>
      <c r="E3700" t="str">
        <f>"2009"</f>
        <v>2009</v>
      </c>
      <c r="F3700" t="str">
        <f>"TUSHAAR SHAH"</f>
        <v>TUSHAAR SHAH</v>
      </c>
      <c r="G3700" t="str">
        <f>"AsarBartar"</f>
        <v>AsarBartar</v>
      </c>
    </row>
    <row r="3701" spans="1:7" x14ac:dyDescent="0.25">
      <c r="A3701" t="str">
        <f>"Tarpons: Biology, Ecology, Fisheries"</f>
        <v>Tarpons: Biology, Ecology, Fisheries</v>
      </c>
      <c r="B3701" t="str">
        <f>"9781119185499"</f>
        <v>9781119185499</v>
      </c>
      <c r="C3701">
        <v>119</v>
      </c>
      <c r="D3701" t="str">
        <f t="shared" ref="D3701:D3706" si="203">"USD"</f>
        <v>USD</v>
      </c>
      <c r="E3701" t="str">
        <f>"2016"</f>
        <v>2016</v>
      </c>
      <c r="F3701" t="str">
        <f>"Spotte"</f>
        <v>Spotte</v>
      </c>
      <c r="G3701" t="str">
        <f>"avanddanesh"</f>
        <v>avanddanesh</v>
      </c>
    </row>
    <row r="3702" spans="1:7" x14ac:dyDescent="0.25">
      <c r="A3702" t="str">
        <f>"TECHNOLOGICAL APPLICATIONS IN WASTEWATER ENGINEERING, HB"</f>
        <v>TECHNOLOGICAL APPLICATIONS IN WASTEWATER ENGINEERING, HB</v>
      </c>
      <c r="B3702" t="str">
        <f>"9788170355533"</f>
        <v>9788170355533</v>
      </c>
      <c r="C3702">
        <v>23.1</v>
      </c>
      <c r="D3702" t="str">
        <f t="shared" si="203"/>
        <v>USD</v>
      </c>
      <c r="E3702" t="str">
        <f>"2009"</f>
        <v>2009</v>
      </c>
      <c r="F3702" t="str">
        <f>"Kaul"</f>
        <v>Kaul</v>
      </c>
      <c r="G3702" t="str">
        <f>"supply"</f>
        <v>supply</v>
      </c>
    </row>
    <row r="3703" spans="1:7" x14ac:dyDescent="0.25">
      <c r="A3703" t="str">
        <f>"Technologies for the Treatment and Recovery of Nutrients from Industrial Wastewater"</f>
        <v>Technologies for the Treatment and Recovery of Nutrients from Industrial Wastewater</v>
      </c>
      <c r="B3703" t="str">
        <f>"9781522510376"</f>
        <v>9781522510376</v>
      </c>
      <c r="C3703">
        <v>150</v>
      </c>
      <c r="D3703" t="str">
        <f t="shared" si="203"/>
        <v>USD</v>
      </c>
      <c r="E3703" t="str">
        <f>"2017"</f>
        <v>2017</v>
      </c>
      <c r="F3703" t="str">
        <f>"Val del R?o, ?ngeles"</f>
        <v>Val del R?o, ?ngeles</v>
      </c>
      <c r="G3703" t="str">
        <f>"arzinbooks"</f>
        <v>arzinbooks</v>
      </c>
    </row>
    <row r="3704" spans="1:7" x14ac:dyDescent="0.25">
      <c r="A3704" t="str">
        <f>"Terrestrial Depositional Systems, Deciphering Complexities through Multiple Stratigraphic Methods"</f>
        <v>Terrestrial Depositional Systems, Deciphering Complexities through Multiple Stratigraphic Methods</v>
      </c>
      <c r="B3704" t="str">
        <f>"9780128032336"</f>
        <v>9780128032336</v>
      </c>
      <c r="C3704">
        <v>117</v>
      </c>
      <c r="D3704" t="str">
        <f t="shared" si="203"/>
        <v>USD</v>
      </c>
      <c r="E3704" t="str">
        <f>"2017"</f>
        <v>2017</v>
      </c>
      <c r="F3704" t="str">
        <f>"Zeigler and Parker"</f>
        <v>Zeigler and Parker</v>
      </c>
      <c r="G3704" t="str">
        <f>"dehkadehketab"</f>
        <v>dehkadehketab</v>
      </c>
    </row>
    <row r="3705" spans="1:7" x14ac:dyDescent="0.25">
      <c r="A3705" t="str">
        <f>"Terrestrial Hydrometeorology"</f>
        <v>Terrestrial Hydrometeorology</v>
      </c>
      <c r="B3705" t="str">
        <f>"9780470659373"</f>
        <v>9780470659373</v>
      </c>
      <c r="C3705">
        <v>42</v>
      </c>
      <c r="D3705" t="str">
        <f t="shared" si="203"/>
        <v>USD</v>
      </c>
      <c r="E3705" t="str">
        <f>"2012"</f>
        <v>2012</v>
      </c>
      <c r="F3705" t="str">
        <f>"Shuttleworth"</f>
        <v>Shuttleworth</v>
      </c>
      <c r="G3705" t="str">
        <f>"avanddanesh"</f>
        <v>avanddanesh</v>
      </c>
    </row>
    <row r="3706" spans="1:7" x14ac:dyDescent="0.25">
      <c r="A3706" t="str">
        <f>"Terrestrial Water Cycle and Climate Change: Natural and Human-Induced Impacts"</f>
        <v>Terrestrial Water Cycle and Climate Change: Natural and Human-Induced Impacts</v>
      </c>
      <c r="B3706" t="str">
        <f>"9781118971765"</f>
        <v>9781118971765</v>
      </c>
      <c r="C3706">
        <v>144.5</v>
      </c>
      <c r="D3706" t="str">
        <f t="shared" si="203"/>
        <v>USD</v>
      </c>
      <c r="E3706" t="str">
        <f>"2016"</f>
        <v>2016</v>
      </c>
      <c r="F3706" t="str">
        <f>"Tang"</f>
        <v>Tang</v>
      </c>
      <c r="G3706" t="str">
        <f>"avanddanesh"</f>
        <v>avanddanesh</v>
      </c>
    </row>
    <row r="3707" spans="1:7" x14ac:dyDescent="0.25">
      <c r="A3707" t="str">
        <f>"Textbook of Children's Environmental Health"</f>
        <v>Textbook of Children's Environmental Health</v>
      </c>
      <c r="B3707" t="str">
        <f>"9780199929573"</f>
        <v>9780199929573</v>
      </c>
      <c r="C3707">
        <v>34</v>
      </c>
      <c r="D3707" t="str">
        <f>"GBP"</f>
        <v>GBP</v>
      </c>
      <c r="E3707" t="str">
        <f>"2014"</f>
        <v>2014</v>
      </c>
      <c r="F3707" t="str">
        <f>"Philip J. Landrigan"</f>
        <v>Philip J. Landrigan</v>
      </c>
      <c r="G3707" t="str">
        <f>"arzinbooks"</f>
        <v>arzinbooks</v>
      </c>
    </row>
    <row r="3708" spans="1:7" x14ac:dyDescent="0.25">
      <c r="A3708" t="str">
        <f>"Textbook of Economic Botany"</f>
        <v>Textbook of Economic Botany</v>
      </c>
      <c r="B3708" t="str">
        <f>"9788180521676"</f>
        <v>9788180521676</v>
      </c>
      <c r="C3708">
        <v>17</v>
      </c>
      <c r="D3708" t="str">
        <f>"USD"</f>
        <v>USD</v>
      </c>
      <c r="E3708" t="str">
        <f>"2016"</f>
        <v>2016</v>
      </c>
      <c r="F3708" t="str">
        <f>"Verma"</f>
        <v>Verma</v>
      </c>
      <c r="G3708" t="str">
        <f>"jahanadib"</f>
        <v>jahanadib</v>
      </c>
    </row>
    <row r="3709" spans="1:7" x14ac:dyDescent="0.25">
      <c r="A3709" t="str">
        <f>"Textbook of Geotechnical Engineering, 3/e"</f>
        <v>Textbook of Geotechnical Engineering, 3/e</v>
      </c>
      <c r="B3709" t="str">
        <f>"9788120345102"</f>
        <v>9788120345102</v>
      </c>
      <c r="C3709">
        <v>9.35</v>
      </c>
      <c r="D3709" t="str">
        <f>"USD"</f>
        <v>USD</v>
      </c>
      <c r="E3709" t="str">
        <f>"2016"</f>
        <v>2016</v>
      </c>
      <c r="F3709" t="str">
        <f>"Khan"</f>
        <v>Khan</v>
      </c>
      <c r="G3709" t="str">
        <f>"safirketab"</f>
        <v>safirketab</v>
      </c>
    </row>
    <row r="3710" spans="1:7" x14ac:dyDescent="0.25">
      <c r="A3710" t="str">
        <f>"The Atlas of Environmental Migration"</f>
        <v>The Atlas of Environmental Migration</v>
      </c>
      <c r="B3710" t="str">
        <f>"9781138022065"</f>
        <v>9781138022065</v>
      </c>
      <c r="C3710">
        <v>28.9</v>
      </c>
      <c r="D3710" t="str">
        <f>"GBP"</f>
        <v>GBP</v>
      </c>
      <c r="E3710" t="str">
        <f>"2016"</f>
        <v>2016</v>
      </c>
      <c r="F3710" t="str">
        <f>"Dina Ionesco,Daria"</f>
        <v>Dina Ionesco,Daria</v>
      </c>
      <c r="G3710" t="str">
        <f>"AsarBartar"</f>
        <v>AsarBartar</v>
      </c>
    </row>
    <row r="3711" spans="1:7" x14ac:dyDescent="0.25">
      <c r="A3711" t="str">
        <f>"The Biology of Arid Soils"</f>
        <v>The Biology of Arid Soils</v>
      </c>
      <c r="B3711" t="str">
        <f>"9783110419986"</f>
        <v>9783110419986</v>
      </c>
      <c r="C3711">
        <v>89.95</v>
      </c>
      <c r="D3711" t="str">
        <f>"EUR"</f>
        <v>EUR</v>
      </c>
      <c r="E3711" t="str">
        <f>"2017"</f>
        <v>2017</v>
      </c>
      <c r="F3711" t="str">
        <f>"Blaire Steven Blair"</f>
        <v>Blaire Steven Blair</v>
      </c>
      <c r="G3711" t="str">
        <f>"AsarBartar"</f>
        <v>AsarBartar</v>
      </c>
    </row>
    <row r="3712" spans="1:7" x14ac:dyDescent="0.25">
      <c r="A3712" t="str">
        <f>"The Chemical Examination of Water, Sewage, Foods and Other Substances"</f>
        <v>The Chemical Examination of Water, Sewage, Foods and Other Substances</v>
      </c>
      <c r="B3712" t="str">
        <f>"9781107494732"</f>
        <v>9781107494732</v>
      </c>
      <c r="C3712">
        <v>17.3</v>
      </c>
      <c r="D3712" t="str">
        <f>"GBP"</f>
        <v>GBP</v>
      </c>
      <c r="E3712" t="str">
        <f>"2015"</f>
        <v>2015</v>
      </c>
      <c r="F3712" t="str">
        <f>"J. E. Purvis , T. R."</f>
        <v>J. E. Purvis , T. R.</v>
      </c>
      <c r="G3712" t="str">
        <f>"arzinbooks"</f>
        <v>arzinbooks</v>
      </c>
    </row>
    <row r="3713" spans="1:7" x14ac:dyDescent="0.25">
      <c r="A3713" t="str">
        <f>"The Conversion of Liquid Rocket Fuels. Risk Assessment. Technology and Treatment Options for the Conversion of Abandoned Liquid Ballistic Missile Propellants (Fuels and Oxidizers) in Azerbaijan"</f>
        <v>The Conversion of Liquid Rocket Fuels. Risk Assessment. Technology and Treatment Options for the Conversion of Abandoned Liquid Ballistic Missile Propellants (Fuels and Oxidizers) in Azerbaijan</v>
      </c>
      <c r="B3713" t="str">
        <f>"9781402023798"</f>
        <v>9781402023798</v>
      </c>
      <c r="C3713">
        <v>72</v>
      </c>
      <c r="D3713" t="str">
        <f>"USD"</f>
        <v>USD</v>
      </c>
      <c r="E3713" t="str">
        <f>"2004"</f>
        <v>2004</v>
      </c>
      <c r="F3713" t="str">
        <f>"Spyra,W.(Ed)"</f>
        <v>Spyra,W.(Ed)</v>
      </c>
      <c r="G3713" t="str">
        <f>"safirketab"</f>
        <v>safirketab</v>
      </c>
    </row>
    <row r="3714" spans="1:7" x14ac:dyDescent="0.25">
      <c r="A3714" t="str">
        <f>"The Conversion of Liquid Rocket Fuels. Risk Assessment. Technology and Treatment Options for the Conversion of Abandoned Liquid Ballistic Missile Propellants (Fuels and Oxidizers) in Azerbaijan - "</f>
        <v xml:space="preserve">The Conversion of Liquid Rocket Fuels. Risk Assessment. Technology and Treatment Options for the Conversion of Abandoned Liquid Ballistic Missile Propellants (Fuels and Oxidizers) in Azerbaijan - </v>
      </c>
      <c r="B3714" t="str">
        <f>"9781402023804"</f>
        <v>9781402023804</v>
      </c>
      <c r="C3714">
        <v>28</v>
      </c>
      <c r="D3714" t="str">
        <f>"USD"</f>
        <v>USD</v>
      </c>
      <c r="E3714" t="str">
        <f>"2004"</f>
        <v>2004</v>
      </c>
      <c r="F3714" t="str">
        <f>"Spyra,W.(Ed)"</f>
        <v>Spyra,W.(Ed)</v>
      </c>
      <c r="G3714" t="str">
        <f>"safirketab"</f>
        <v>safirketab</v>
      </c>
    </row>
    <row r="3715" spans="1:7" x14ac:dyDescent="0.25">
      <c r="A3715" t="str">
        <f>"The Costs and Benefits of Environmental Regulation"</f>
        <v>The Costs and Benefits of Environmental Regulation</v>
      </c>
      <c r="B3715" t="str">
        <f>"9781784712112"</f>
        <v>9781784712112</v>
      </c>
      <c r="C3715">
        <v>29.75</v>
      </c>
      <c r="D3715" t="str">
        <f>"GBP"</f>
        <v>GBP</v>
      </c>
      <c r="E3715" t="str">
        <f>"2016"</f>
        <v>2016</v>
      </c>
      <c r="F3715" t="str">
        <f>"Imad A. Moosa,Vikas"</f>
        <v>Imad A. Moosa,Vikas</v>
      </c>
      <c r="G3715" t="str">
        <f>"AsarBartar"</f>
        <v>AsarBartar</v>
      </c>
    </row>
    <row r="3716" spans="1:7" x14ac:dyDescent="0.25">
      <c r="A3716" t="str">
        <f>"The Dilemma of China's Dryland Agriculture in Inner Mongolia"</f>
        <v>The Dilemma of China's Dryland Agriculture in Inner Mongolia</v>
      </c>
      <c r="B3716" t="str">
        <f>"9783631743003"</f>
        <v>9783631743003</v>
      </c>
      <c r="C3716">
        <v>55.75</v>
      </c>
      <c r="D3716" t="str">
        <f>"USD"</f>
        <v>USD</v>
      </c>
      <c r="E3716" t="str">
        <f>"2018"</f>
        <v>2018</v>
      </c>
      <c r="F3716" t="str">
        <f>"Neumann, Cilia"</f>
        <v>Neumann, Cilia</v>
      </c>
      <c r="G3716" t="str">
        <f>"dehkadehketab"</f>
        <v>dehkadehketab</v>
      </c>
    </row>
    <row r="3717" spans="1:7" x14ac:dyDescent="0.25">
      <c r="A3717" t="str">
        <f>"The Economics of Biofuels: The impact of EU bioenergy policy on agricultural markets and land grabbing in Africa (Routledge Explorations in Environmental Economics)"</f>
        <v>The Economics of Biofuels: The impact of EU bioenergy policy on agricultural markets and land grabbing in Africa (Routledge Explorations in Environmental Economics)</v>
      </c>
      <c r="B3717" t="str">
        <f>"9781138657854"</f>
        <v>9781138657854</v>
      </c>
      <c r="C3717">
        <v>99</v>
      </c>
      <c r="D3717" t="str">
        <f>"GBP"</f>
        <v>GBP</v>
      </c>
      <c r="E3717" t="str">
        <f>"2016"</f>
        <v>2016</v>
      </c>
      <c r="F3717" t="str">
        <f>"BRACCO"</f>
        <v>BRACCO</v>
      </c>
      <c r="G3717" t="str">
        <f>"sal"</f>
        <v>sal</v>
      </c>
    </row>
    <row r="3718" spans="1:7" x14ac:dyDescent="0.25">
      <c r="A3718" t="str">
        <f>"The Effect of Riparian Zones on Nitrate Removal by Denitrification at the River Basin Scale: UNESCO-IHE PhD Thesis"</f>
        <v>The Effect of Riparian Zones on Nitrate Removal by Denitrification at the River Basin Scale: UNESCO-IHE PhD Thesis</v>
      </c>
      <c r="B3718" t="str">
        <f>"9781138024052"</f>
        <v>9781138024052</v>
      </c>
      <c r="C3718">
        <v>31.2</v>
      </c>
      <c r="D3718" t="str">
        <f>"GBP"</f>
        <v>GBP</v>
      </c>
      <c r="E3718" t="str">
        <f>"2013"</f>
        <v>2013</v>
      </c>
      <c r="F3718" t="str">
        <f>"Linh Hoang"</f>
        <v>Linh Hoang</v>
      </c>
      <c r="G3718" t="str">
        <f>"AsarBartar"</f>
        <v>AsarBartar</v>
      </c>
    </row>
    <row r="3719" spans="1:7" x14ac:dyDescent="0.25">
      <c r="A3719" t="str">
        <f>"THE ENVIRONMENT : SCIENCE, ISSUES, AND SOLUTIONS"</f>
        <v>THE ENVIRONMENT : SCIENCE, ISSUES, AND SOLUTIONS</v>
      </c>
      <c r="B3719" t="str">
        <f>"9780849373879"</f>
        <v>9780849373879</v>
      </c>
      <c r="C3719">
        <v>14.99</v>
      </c>
      <c r="D3719" t="str">
        <f>"GBP"</f>
        <v>GBP</v>
      </c>
      <c r="E3719" t="str">
        <f>"2010"</f>
        <v>2010</v>
      </c>
      <c r="F3719" t="str">
        <f>"MOHAN K. WALI, FATI"</f>
        <v>MOHAN K. WALI, FATI</v>
      </c>
      <c r="G3719" t="str">
        <f>"AsarBartar"</f>
        <v>AsarBartar</v>
      </c>
    </row>
    <row r="3720" spans="1:7" x14ac:dyDescent="0.25">
      <c r="A3720" t="str">
        <f>"The Environment and International Relations"</f>
        <v>The Environment and International Relations</v>
      </c>
      <c r="B3720" t="str">
        <f>"9781107671713"</f>
        <v>9781107671713</v>
      </c>
      <c r="C3720">
        <v>16.5</v>
      </c>
      <c r="D3720" t="str">
        <f>"GBP"</f>
        <v>GBP</v>
      </c>
      <c r="E3720" t="str">
        <f>"2017"</f>
        <v>2017</v>
      </c>
      <c r="F3720" t="str">
        <f>"Kate O'Neill"</f>
        <v>Kate O'Neill</v>
      </c>
      <c r="G3720" t="str">
        <f>"arzinbooks"</f>
        <v>arzinbooks</v>
      </c>
    </row>
    <row r="3721" spans="1:7" x14ac:dyDescent="0.25">
      <c r="A3721" t="str">
        <f>"The Environmental Science of Drinking Water"</f>
        <v>The Environmental Science of Drinking Water</v>
      </c>
      <c r="B3721" t="str">
        <f>"9781493303120"</f>
        <v>9781493303120</v>
      </c>
      <c r="C3721">
        <v>80.05</v>
      </c>
      <c r="D3721" t="str">
        <f>"USD"</f>
        <v>USD</v>
      </c>
      <c r="E3721" t="str">
        <f>"2014"</f>
        <v>2014</v>
      </c>
      <c r="F3721" t="str">
        <f>"Sullivan et al"</f>
        <v>Sullivan et al</v>
      </c>
      <c r="G3721" t="str">
        <f>"arang"</f>
        <v>arang</v>
      </c>
    </row>
    <row r="3722" spans="1:7" x14ac:dyDescent="0.25">
      <c r="A3722" t="str">
        <f>"The Everglades Handbook: Understanding the Ecosystem, Fourth Edition"</f>
        <v>The Everglades Handbook: Understanding the Ecosystem, Fourth Edition</v>
      </c>
      <c r="B3722" t="str">
        <f>"9781498742900"</f>
        <v>9781498742900</v>
      </c>
      <c r="C3722">
        <v>40.5</v>
      </c>
      <c r="D3722" t="str">
        <f>"GBP"</f>
        <v>GBP</v>
      </c>
      <c r="E3722" t="str">
        <f>"2017"</f>
        <v>2017</v>
      </c>
      <c r="F3722" t="str">
        <f>"Thomas E. Lodge"</f>
        <v>Thomas E. Lodge</v>
      </c>
      <c r="G3722" t="str">
        <f>"AsarBartar"</f>
        <v>AsarBartar</v>
      </c>
    </row>
    <row r="3723" spans="1:7" x14ac:dyDescent="0.25">
      <c r="A3723" t="str">
        <f>"The Handbook of Groundwater Engineering, Third Edition"</f>
        <v>The Handbook of Groundwater Engineering, Third Edition</v>
      </c>
      <c r="B3723" t="str">
        <f>"9781498703048"</f>
        <v>9781498703048</v>
      </c>
      <c r="C3723">
        <v>135.15</v>
      </c>
      <c r="D3723" t="str">
        <f>"GBP"</f>
        <v>GBP</v>
      </c>
      <c r="E3723" t="str">
        <f>"2016"</f>
        <v>2016</v>
      </c>
      <c r="F3723" t="str">
        <f>"John H. Cushman(Edi"</f>
        <v>John H. Cushman(Edi</v>
      </c>
      <c r="G3723" t="str">
        <f>"AsarBartar"</f>
        <v>AsarBartar</v>
      </c>
    </row>
    <row r="3724" spans="1:7" x14ac:dyDescent="0.25">
      <c r="A3724" t="str">
        <f>"The Human Face of Water Security"</f>
        <v>The Human Face of Water Security</v>
      </c>
      <c r="B3724" t="str">
        <f>"9783319501604"</f>
        <v>9783319501604</v>
      </c>
      <c r="C3724">
        <v>98.99</v>
      </c>
      <c r="D3724" t="str">
        <f>"EUR"</f>
        <v>EUR</v>
      </c>
      <c r="E3724" t="str">
        <f>"2017"</f>
        <v>2017</v>
      </c>
      <c r="F3724" t="str">
        <f>"Devlaeminck"</f>
        <v>Devlaeminck</v>
      </c>
      <c r="G3724" t="str">
        <f>"negarestanabi"</f>
        <v>negarestanabi</v>
      </c>
    </row>
    <row r="3725" spans="1:7" x14ac:dyDescent="0.25">
      <c r="A3725" t="str">
        <f>"The Indian Nitrogen Assessment, Sources of Reactive Nitrogen, Environmental and Climate Effects, Management Options, and Policies"</f>
        <v>The Indian Nitrogen Assessment, Sources of Reactive Nitrogen, Environmental and Climate Effects, Management Options, and Policies</v>
      </c>
      <c r="B3725" t="str">
        <f>"9780128118276"</f>
        <v>9780128118276</v>
      </c>
      <c r="C3725">
        <v>166.5</v>
      </c>
      <c r="D3725" t="str">
        <f>"USD"</f>
        <v>USD</v>
      </c>
      <c r="E3725" t="str">
        <f>"2017"</f>
        <v>2017</v>
      </c>
      <c r="F3725" t="str">
        <f>"Abrol et al"</f>
        <v>Abrol et al</v>
      </c>
      <c r="G3725" t="str">
        <f>"dehkadehketab"</f>
        <v>dehkadehketab</v>
      </c>
    </row>
    <row r="3726" spans="1:7" x14ac:dyDescent="0.25">
      <c r="A3726" t="str">
        <f>"The International Handbook of Political Ecology"</f>
        <v>The International Handbook of Political Ecology</v>
      </c>
      <c r="B3726" t="str">
        <f>"9780857936165"</f>
        <v>9780857936165</v>
      </c>
      <c r="C3726">
        <v>174.25</v>
      </c>
      <c r="D3726" t="str">
        <f>"GBP"</f>
        <v>GBP</v>
      </c>
      <c r="E3726" t="str">
        <f>"2015"</f>
        <v>2015</v>
      </c>
      <c r="F3726" t="str">
        <f>"Raymond Bryant(Edit"</f>
        <v>Raymond Bryant(Edit</v>
      </c>
      <c r="G3726" t="str">
        <f>"AsarBartar"</f>
        <v>AsarBartar</v>
      </c>
    </row>
    <row r="3727" spans="1:7" x14ac:dyDescent="0.25">
      <c r="A3727" t="str">
        <f>"The Nature and Use of Ecotoxicological Evidence, Natural Science, Statistics, Psychology, and Sociology"</f>
        <v>The Nature and Use of Ecotoxicological Evidence, Natural Science, Statistics, Psychology, and Sociology</v>
      </c>
      <c r="B3727" t="str">
        <f>"9780128096406"</f>
        <v>9780128096406</v>
      </c>
      <c r="C3727">
        <v>71.95</v>
      </c>
      <c r="D3727" t="str">
        <f>"USD"</f>
        <v>USD</v>
      </c>
      <c r="E3727" t="str">
        <f>"2018"</f>
        <v>2018</v>
      </c>
      <c r="F3727" t="str">
        <f>"Newman"</f>
        <v>Newman</v>
      </c>
      <c r="G3727" t="str">
        <f>"dehkadehketab"</f>
        <v>dehkadehketab</v>
      </c>
    </row>
    <row r="3728" spans="1:7" x14ac:dyDescent="0.25">
      <c r="A3728" t="str">
        <f>"The Nile Delta"</f>
        <v>The Nile Delta</v>
      </c>
      <c r="B3728" t="str">
        <f>"9783319561226"</f>
        <v>9783319561226</v>
      </c>
      <c r="C3728">
        <v>296.99</v>
      </c>
      <c r="D3728" t="str">
        <f>"EUR"</f>
        <v>EUR</v>
      </c>
      <c r="E3728" t="str">
        <f>"2017"</f>
        <v>2017</v>
      </c>
      <c r="F3728" t="str">
        <f>"Negm"</f>
        <v>Negm</v>
      </c>
      <c r="G3728" t="str">
        <f>"negarestanabi"</f>
        <v>negarestanabi</v>
      </c>
    </row>
    <row r="3729" spans="1:7" x14ac:dyDescent="0.25">
      <c r="A3729" t="str">
        <f>"The Nile River"</f>
        <v>The Nile River</v>
      </c>
      <c r="B3729" t="str">
        <f>"9783319590868"</f>
        <v>9783319590868</v>
      </c>
      <c r="C3729">
        <v>341.99</v>
      </c>
      <c r="D3729" t="str">
        <f>"EUR"</f>
        <v>EUR</v>
      </c>
      <c r="E3729" t="str">
        <f>"2017"</f>
        <v>2017</v>
      </c>
      <c r="F3729" t="str">
        <f>"Negm"</f>
        <v>Negm</v>
      </c>
      <c r="G3729" t="str">
        <f>"negarestanabi"</f>
        <v>negarestanabi</v>
      </c>
    </row>
    <row r="3730" spans="1:7" x14ac:dyDescent="0.25">
      <c r="A3730" t="str">
        <f>"The Ocean of Tomorrow: Investment Assessment of Multi-Use Offshore Platforms: Methodology and Applications - Volume 1"</f>
        <v>The Ocean of Tomorrow: Investment Assessment of Multi-Use Offshore Platforms: Methodology and Applications - Volume 1</v>
      </c>
      <c r="B3730" t="str">
        <f>"9783319557700"</f>
        <v>9783319557700</v>
      </c>
      <c r="C3730">
        <v>116.99</v>
      </c>
      <c r="D3730" t="str">
        <f>"EUR"</f>
        <v>EUR</v>
      </c>
      <c r="E3730" t="str">
        <f>"2017"</f>
        <v>2017</v>
      </c>
      <c r="F3730" t="str">
        <f>"Koundouri"</f>
        <v>Koundouri</v>
      </c>
      <c r="G3730" t="str">
        <f>"negarestanabi"</f>
        <v>negarestanabi</v>
      </c>
    </row>
    <row r="3731" spans="1:7" x14ac:dyDescent="0.25">
      <c r="A3731" t="str">
        <f>"The Red Soils of China"</f>
        <v>The Red Soils of China</v>
      </c>
      <c r="B3731" t="str">
        <f>"9781402021374"</f>
        <v>9781402021374</v>
      </c>
      <c r="C3731">
        <v>160</v>
      </c>
      <c r="D3731" t="str">
        <f>"USD"</f>
        <v>USD</v>
      </c>
      <c r="E3731" t="str">
        <f>"2004"</f>
        <v>2004</v>
      </c>
      <c r="F3731" t="str">
        <f>"Wilson,M.J.(Eds.)"</f>
        <v>Wilson,M.J.(Eds.)</v>
      </c>
      <c r="G3731" t="str">
        <f>"safirketab"</f>
        <v>safirketab</v>
      </c>
    </row>
    <row r="3732" spans="1:7" x14ac:dyDescent="0.25">
      <c r="A3732" t="str">
        <f>"The Refinery of the Future"</f>
        <v>The Refinery of the Future</v>
      </c>
      <c r="B3732" t="str">
        <f>"9780128102206"</f>
        <v>9780128102206</v>
      </c>
      <c r="C3732">
        <v>162</v>
      </c>
      <c r="D3732" t="str">
        <f>"USD"</f>
        <v>USD</v>
      </c>
      <c r="E3732" t="str">
        <f>"2017"</f>
        <v>2017</v>
      </c>
      <c r="F3732" t="str">
        <f>"Speight"</f>
        <v>Speight</v>
      </c>
      <c r="G3732" t="str">
        <f>"dehkadehketab"</f>
        <v>dehkadehketab</v>
      </c>
    </row>
    <row r="3733" spans="1:7" x14ac:dyDescent="0.25">
      <c r="A3733" t="str">
        <f>"The SAGE Handbook of Transport Studies"</f>
        <v>The SAGE Handbook of Transport Studies</v>
      </c>
      <c r="B3733" t="str">
        <f>"9781849207898"</f>
        <v>9781849207898</v>
      </c>
      <c r="C3733">
        <v>47.5</v>
      </c>
      <c r="D3733" t="str">
        <f>"GBP"</f>
        <v>GBP</v>
      </c>
      <c r="E3733" t="str">
        <f>"2013"</f>
        <v>2013</v>
      </c>
      <c r="F3733" t="str">
        <f>"Rodrigue J et a"</f>
        <v>Rodrigue J et a</v>
      </c>
      <c r="G3733" t="str">
        <f>"kowkab"</f>
        <v>kowkab</v>
      </c>
    </row>
    <row r="3734" spans="1:7" x14ac:dyDescent="0.25">
      <c r="A3734" t="str">
        <f>"The Science and Practice of Landscape Stewardship"</f>
        <v>The Science and Practice of Landscape Stewardship</v>
      </c>
      <c r="B3734" t="str">
        <f>"9781107142268"</f>
        <v>9781107142268</v>
      </c>
      <c r="C3734">
        <v>34</v>
      </c>
      <c r="D3734" t="str">
        <f>"GBP"</f>
        <v>GBP</v>
      </c>
      <c r="E3734" t="str">
        <f>"2017"</f>
        <v>2017</v>
      </c>
      <c r="F3734" t="str">
        <f>"Bieling"</f>
        <v>Bieling</v>
      </c>
      <c r="G3734" t="str">
        <f>"arzinbooks"</f>
        <v>arzinbooks</v>
      </c>
    </row>
    <row r="3735" spans="1:7" x14ac:dyDescent="0.25">
      <c r="A3735" t="str">
        <f>"The Strategic Environmental Assessment Directive: A Plan for Success?"</f>
        <v>The Strategic Environmental Assessment Directive: A Plan for Success?</v>
      </c>
      <c r="B3735" t="str">
        <f>"9781849466332"</f>
        <v>9781849466332</v>
      </c>
      <c r="C3735">
        <v>68</v>
      </c>
      <c r="D3735" t="str">
        <f>"GBP"</f>
        <v>GBP</v>
      </c>
      <c r="E3735" t="str">
        <f>"2017"</f>
        <v>2017</v>
      </c>
      <c r="F3735" t="str">
        <f>"Gregory Jones QC and"</f>
        <v>Gregory Jones QC and</v>
      </c>
      <c r="G3735" t="str">
        <f>"arzinbooks"</f>
        <v>arzinbooks</v>
      </c>
    </row>
    <row r="3736" spans="1:7" x14ac:dyDescent="0.25">
      <c r="A3736" t="str">
        <f>"The Structure of the Atmosphere in Clear Weather: A Study of Soundings with Pilot Balloons"</f>
        <v>The Structure of the Atmosphere in Clear Weather: A Study of Soundings with Pilot Balloons</v>
      </c>
      <c r="B3736" t="str">
        <f>"9781107457980"</f>
        <v>9781107457980</v>
      </c>
      <c r="C3736">
        <v>19.5</v>
      </c>
      <c r="D3736" t="str">
        <f>"GBP"</f>
        <v>GBP</v>
      </c>
      <c r="E3736" t="str">
        <f>"2015"</f>
        <v>2015</v>
      </c>
      <c r="F3736" t="str">
        <f>"C. J. P. Cave"</f>
        <v>C. J. P. Cave</v>
      </c>
      <c r="G3736" t="str">
        <f>"arzinbooks"</f>
        <v>arzinbooks</v>
      </c>
    </row>
    <row r="3737" spans="1:7" x14ac:dyDescent="0.25">
      <c r="A3737" t="str">
        <f>"The Water Footprint of Modern Consumer Society"</f>
        <v>The Water Footprint of Modern Consumer Society</v>
      </c>
      <c r="B3737" t="str">
        <f>"9781849714273"</f>
        <v>9781849714273</v>
      </c>
      <c r="C3737">
        <v>17.399999999999999</v>
      </c>
      <c r="D3737" t="str">
        <f>"GBP"</f>
        <v>GBP</v>
      </c>
      <c r="E3737" t="str">
        <f>"2013"</f>
        <v>2013</v>
      </c>
      <c r="F3737" t="str">
        <f>"Arjen Y. Hoekstra"</f>
        <v>Arjen Y. Hoekstra</v>
      </c>
      <c r="G3737" t="str">
        <f>"AsarBartar"</f>
        <v>AsarBartar</v>
      </c>
    </row>
    <row r="3738" spans="1:7" x14ac:dyDescent="0.25">
      <c r="A3738" t="str">
        <f>"The Water We Eat: Combining Virtual Water and Water Footprints"</f>
        <v>The Water We Eat: Combining Virtual Water and Water Footprints</v>
      </c>
      <c r="B3738" t="str">
        <f>"9783319163925"</f>
        <v>9783319163925</v>
      </c>
      <c r="C3738">
        <v>107.99</v>
      </c>
      <c r="D3738" t="str">
        <f>"EUR"</f>
        <v>EUR</v>
      </c>
      <c r="E3738" t="str">
        <f>"2015"</f>
        <v>2015</v>
      </c>
      <c r="F3738" t="str">
        <f>"Antonelli"</f>
        <v>Antonelli</v>
      </c>
      <c r="G3738" t="str">
        <f>"negarestanabi"</f>
        <v>negarestanabi</v>
      </c>
    </row>
    <row r="3739" spans="1:7" x14ac:dyDescent="0.25">
      <c r="A3739" t="str">
        <f>"The Water, Food, Energy and Climate Nexus: Challenges and an agenda for action (Earthscan Studies in Natural Resource Management)"</f>
        <v>The Water, Food, Energy and Climate Nexus: Challenges and an agenda for action (Earthscan Studies in Natural Resource Management)</v>
      </c>
      <c r="B3739" t="str">
        <f>"9781138190955"</f>
        <v>9781138190955</v>
      </c>
      <c r="C3739">
        <v>27.2</v>
      </c>
      <c r="D3739" t="str">
        <f>"GBP"</f>
        <v>GBP</v>
      </c>
      <c r="E3739" t="str">
        <f>"2016"</f>
        <v>2016</v>
      </c>
      <c r="F3739" t="str">
        <f>"Felix Dodds(Editor)"</f>
        <v>Felix Dodds(Editor)</v>
      </c>
      <c r="G3739" t="str">
        <f>"AsarBartar"</f>
        <v>AsarBartar</v>
      </c>
    </row>
    <row r="3740" spans="1:7" x14ac:dyDescent="0.25">
      <c r="A3740" t="str">
        <f>"THE YAWS HANDBOOK OF PROPERTIES FOR ENVIRONMENTAL AND GREEN ENGINEERING, HB"</f>
        <v>THE YAWS HANDBOOK OF PROPERTIES FOR ENVIRONMENTAL AND GREEN ENGINEERING, HB</v>
      </c>
      <c r="B3740" t="str">
        <f>"9781933762159"</f>
        <v>9781933762159</v>
      </c>
      <c r="C3740">
        <v>122.5</v>
      </c>
      <c r="D3740" t="str">
        <f>"USD"</f>
        <v>USD</v>
      </c>
      <c r="E3740" t="str">
        <f>"2008"</f>
        <v>2008</v>
      </c>
      <c r="F3740" t="str">
        <f>"Yaws"</f>
        <v>Yaws</v>
      </c>
      <c r="G3740" t="str">
        <f>"supply"</f>
        <v>supply</v>
      </c>
    </row>
    <row r="3741" spans="1:7" x14ac:dyDescent="0.25">
      <c r="A3741" t="str">
        <f>"THEOLOGY, CREATION, AND ENVIRONMENTAL ETHICS : FROM CREATIO EX NIHILO TO TERRA NULLIUS"</f>
        <v>THEOLOGY, CREATION, AND ENVIRONMENTAL ETHICS : FROM CREATIO EX NIHILO TO TERRA NULLIUS</v>
      </c>
      <c r="B3741" t="str">
        <f>"9780415998130"</f>
        <v>9780415998130</v>
      </c>
      <c r="C3741">
        <v>19.5</v>
      </c>
      <c r="D3741" t="str">
        <f>"GBP"</f>
        <v>GBP</v>
      </c>
      <c r="E3741" t="str">
        <f>"2009"</f>
        <v>2009</v>
      </c>
      <c r="F3741" t="str">
        <f>"WHITNEY BAUMAN"</f>
        <v>WHITNEY BAUMAN</v>
      </c>
      <c r="G3741" t="str">
        <f>"AsarBartar"</f>
        <v>AsarBartar</v>
      </c>
    </row>
    <row r="3742" spans="1:7" x14ac:dyDescent="0.25">
      <c r="A3742" t="str">
        <f>"Theory of Atmospheric Radiative Transfer: A Comprehensive Introduction"</f>
        <v>Theory of Atmospheric Radiative Transfer: A Comprehensive Introduction</v>
      </c>
      <c r="B3742" t="str">
        <f>"9783527408368"</f>
        <v>9783527408368</v>
      </c>
      <c r="C3742">
        <v>67.8</v>
      </c>
      <c r="D3742" t="str">
        <f>"USD"</f>
        <v>USD</v>
      </c>
      <c r="E3742" t="str">
        <f>"2012"</f>
        <v>2012</v>
      </c>
      <c r="F3742" t="str">
        <f>"Wendisch"</f>
        <v>Wendisch</v>
      </c>
      <c r="G3742" t="str">
        <f>"avanddanesh"</f>
        <v>avanddanesh</v>
      </c>
    </row>
    <row r="3743" spans="1:7" x14ac:dyDescent="0.25">
      <c r="A3743" t="str">
        <f>"Thermal Imaging Techniques To Survey And Monitor A"</f>
        <v>Thermal Imaging Techniques To Survey And Monitor A</v>
      </c>
      <c r="B3743" t="str">
        <f>"9780128033845"</f>
        <v>9780128033845</v>
      </c>
      <c r="C3743">
        <v>81</v>
      </c>
      <c r="D3743" t="str">
        <f>"USD"</f>
        <v>USD</v>
      </c>
      <c r="E3743" t="str">
        <f>"2015"</f>
        <v>2015</v>
      </c>
      <c r="F3743" t="str">
        <f>"N/A*"</f>
        <v>N/A*</v>
      </c>
      <c r="G3743" t="str">
        <f>"dehkadehketab"</f>
        <v>dehkadehketab</v>
      </c>
    </row>
    <row r="3744" spans="1:7" x14ac:dyDescent="0.25">
      <c r="A3744" t="str">
        <f>"THERMAL SCIENCE"</f>
        <v>THERMAL SCIENCE</v>
      </c>
      <c r="B3744" t="str">
        <f>"9780071772341"</f>
        <v>9780071772341</v>
      </c>
      <c r="C3744">
        <v>84.15</v>
      </c>
      <c r="D3744" t="str">
        <f>"USD"</f>
        <v>USD</v>
      </c>
      <c r="E3744" t="str">
        <f>"2012"</f>
        <v>2012</v>
      </c>
      <c r="F3744" t="str">
        <f>"BASKHARONE"</f>
        <v>BASKHARONE</v>
      </c>
      <c r="G3744" t="str">
        <f>"safirketab"</f>
        <v>safirketab</v>
      </c>
    </row>
    <row r="3745" spans="1:7" x14ac:dyDescent="0.25">
      <c r="A3745" t="str">
        <f>"Thermochemical Conversion of Biomass for the Production of Energy and Chemicals"</f>
        <v>Thermochemical Conversion of Biomass for the Production of Energy and Chemicals</v>
      </c>
      <c r="B3745" t="str">
        <f>"9781848218239"</f>
        <v>9781848218239</v>
      </c>
      <c r="C3745">
        <v>114.8</v>
      </c>
      <c r="D3745" t="str">
        <f>"USD"</f>
        <v>USD</v>
      </c>
      <c r="E3745" t="str">
        <f>"2016"</f>
        <v>2016</v>
      </c>
      <c r="F3745" t="str">
        <f>"Dufour"</f>
        <v>Dufour</v>
      </c>
      <c r="G3745" t="str">
        <f>"avanddanesh"</f>
        <v>avanddanesh</v>
      </c>
    </row>
    <row r="3746" spans="1:7" x14ac:dyDescent="0.25">
      <c r="A3746" t="str">
        <f>"Thermodynamics of Natural Systems : Theory and Applications in Geochemistry and Environmental Science"</f>
        <v>Thermodynamics of Natural Systems : Theory and Applications in Geochemistry and Environmental Science</v>
      </c>
      <c r="B3746" t="str">
        <f>"9781107175211"</f>
        <v>9781107175211</v>
      </c>
      <c r="C3746">
        <v>42.5</v>
      </c>
      <c r="D3746" t="str">
        <f>"GBP"</f>
        <v>GBP</v>
      </c>
      <c r="E3746" t="str">
        <f>"2017"</f>
        <v>2017</v>
      </c>
      <c r="F3746" t="str">
        <f>"Anderson"</f>
        <v>Anderson</v>
      </c>
      <c r="G3746" t="str">
        <f>"arzinbooks"</f>
        <v>arzinbooks</v>
      </c>
    </row>
    <row r="3747" spans="1:7" x14ac:dyDescent="0.25">
      <c r="A3747" t="str">
        <f>"Threats to the Quality of Groundwater Resources: Prevention and Control"</f>
        <v>Threats to the Quality of Groundwater Resources: Prevention and Control</v>
      </c>
      <c r="B3747" t="str">
        <f>"9783662485941"</f>
        <v>9783662485941</v>
      </c>
      <c r="C3747">
        <v>269.99</v>
      </c>
      <c r="D3747" t="str">
        <f>"EUR"</f>
        <v>EUR</v>
      </c>
      <c r="E3747" t="str">
        <f>"2016"</f>
        <v>2016</v>
      </c>
      <c r="F3747" t="str">
        <f>"Scozzari"</f>
        <v>Scozzari</v>
      </c>
      <c r="G3747" t="str">
        <f>"negarestanabi"</f>
        <v>negarestanabi</v>
      </c>
    </row>
    <row r="3748" spans="1:7" x14ac:dyDescent="0.25">
      <c r="A3748" t="str">
        <f>"Time Series Analysis in Meteorology and Climatology: An Introduction"</f>
        <v>Time Series Analysis in Meteorology and Climatology: An Introduction</v>
      </c>
      <c r="B3748" t="str">
        <f>"9780470971994"</f>
        <v>9780470971994</v>
      </c>
      <c r="C3748">
        <v>36</v>
      </c>
      <c r="D3748" t="str">
        <f t="shared" ref="D3748:D3753" si="204">"USD"</f>
        <v>USD</v>
      </c>
      <c r="E3748" t="str">
        <f>"2011"</f>
        <v>2011</v>
      </c>
      <c r="F3748" t="str">
        <f>"Duchon"</f>
        <v>Duchon</v>
      </c>
      <c r="G3748" t="str">
        <f>"avanddanesh"</f>
        <v>avanddanesh</v>
      </c>
    </row>
    <row r="3749" spans="1:7" x14ac:dyDescent="0.25">
      <c r="A3749" t="str">
        <f>"Time to Shine: Applications of Solar Energy Technology"</f>
        <v>Time to Shine: Applications of Solar Energy Technology</v>
      </c>
      <c r="B3749" t="str">
        <f>"9781118016213"</f>
        <v>9781118016213</v>
      </c>
      <c r="C3749">
        <v>48</v>
      </c>
      <c r="D3749" t="str">
        <f t="shared" si="204"/>
        <v>USD</v>
      </c>
      <c r="E3749" t="str">
        <f>"2012"</f>
        <v>2012</v>
      </c>
      <c r="F3749" t="str">
        <f>"Grupp"</f>
        <v>Grupp</v>
      </c>
      <c r="G3749" t="str">
        <f>"avanddanesh"</f>
        <v>avanddanesh</v>
      </c>
    </row>
    <row r="3750" spans="1:7" x14ac:dyDescent="0.25">
      <c r="A3750" t="str">
        <f>"Timescales of Magmatic Processes: From Core to Atmosphere"</f>
        <v>Timescales of Magmatic Processes: From Core to Atmosphere</v>
      </c>
      <c r="B3750" t="str">
        <f>"9781444332612"</f>
        <v>9781444332612</v>
      </c>
      <c r="C3750">
        <v>28</v>
      </c>
      <c r="D3750" t="str">
        <f t="shared" si="204"/>
        <v>USD</v>
      </c>
      <c r="E3750" t="str">
        <f>"2010"</f>
        <v>2010</v>
      </c>
      <c r="F3750" t="str">
        <f>"Dosseto"</f>
        <v>Dosseto</v>
      </c>
      <c r="G3750" t="str">
        <f>"avanddanesh"</f>
        <v>avanddanesh</v>
      </c>
    </row>
    <row r="3751" spans="1:7" x14ac:dyDescent="0.25">
      <c r="A3751" t="str">
        <f>"Timescales of Magmatic Processes: From Core to Atmosphere"</f>
        <v>Timescales of Magmatic Processes: From Core to Atmosphere</v>
      </c>
      <c r="B3751" t="str">
        <f>"9781444332612"</f>
        <v>9781444332612</v>
      </c>
      <c r="C3751">
        <v>28</v>
      </c>
      <c r="D3751" t="str">
        <f t="shared" si="204"/>
        <v>USD</v>
      </c>
      <c r="E3751" t="str">
        <f>"2010"</f>
        <v>2010</v>
      </c>
      <c r="F3751" t="str">
        <f>"Dosseto"</f>
        <v>Dosseto</v>
      </c>
      <c r="G3751" t="str">
        <f>"safirketab"</f>
        <v>safirketab</v>
      </c>
    </row>
    <row r="3752" spans="1:7" x14ac:dyDescent="0.25">
      <c r="A3752" t="str">
        <f>"Tools for Oceanography and Ecosystemic Modeling"</f>
        <v>Tools for Oceanography and Ecosystemic Modeling</v>
      </c>
      <c r="B3752" t="str">
        <f>"9781848217782"</f>
        <v>9781848217782</v>
      </c>
      <c r="C3752">
        <v>106.3</v>
      </c>
      <c r="D3752" t="str">
        <f t="shared" si="204"/>
        <v>USD</v>
      </c>
      <c r="E3752" t="str">
        <f>"2016"</f>
        <v>2016</v>
      </c>
      <c r="F3752" t="str">
        <f>"Monaco"</f>
        <v>Monaco</v>
      </c>
      <c r="G3752" t="str">
        <f>"avanddanesh"</f>
        <v>avanddanesh</v>
      </c>
    </row>
    <row r="3753" spans="1:7" x14ac:dyDescent="0.25">
      <c r="A3753" t="str">
        <f>"Tools in Fluvial Geomorphology,2e"</f>
        <v>Tools in Fluvial Geomorphology,2e</v>
      </c>
      <c r="B3753" t="str">
        <f>"9780470684054"</f>
        <v>9780470684054</v>
      </c>
      <c r="C3753">
        <v>102</v>
      </c>
      <c r="D3753" t="str">
        <f t="shared" si="204"/>
        <v>USD</v>
      </c>
      <c r="E3753" t="str">
        <f>"2016"</f>
        <v>2016</v>
      </c>
      <c r="F3753" t="str">
        <f>"Kondolf"</f>
        <v>Kondolf</v>
      </c>
      <c r="G3753" t="str">
        <f>"avanddanesh"</f>
        <v>avanddanesh</v>
      </c>
    </row>
    <row r="3754" spans="1:7" x14ac:dyDescent="0.25">
      <c r="A3754" t="str">
        <f>"Towards a new regulatory framework for GM crops in the European Union ,Scientific, ethical, social and legal issues and the challenges ahead"</f>
        <v>Towards a new regulatory framework for GM crops in the European Union ,Scientific, ethical, social and legal issues and the challenges ahead</v>
      </c>
      <c r="B3754" t="str">
        <f>"9789086863020"</f>
        <v>9789086863020</v>
      </c>
      <c r="C3754">
        <v>63</v>
      </c>
      <c r="D3754" t="str">
        <f>"EUR"</f>
        <v>EUR</v>
      </c>
      <c r="E3754" t="str">
        <f>"2017"</f>
        <v>2017</v>
      </c>
      <c r="F3754" t="str">
        <f>"Leire Escajede San-"</f>
        <v>Leire Escajede San-</v>
      </c>
      <c r="G3754" t="str">
        <f>"AsarBartar"</f>
        <v>AsarBartar</v>
      </c>
    </row>
    <row r="3755" spans="1:7" x14ac:dyDescent="0.25">
      <c r="A3755" t="str">
        <f>"Toxicity and Waste Management Using Bioremediation"</f>
        <v>Toxicity and Waste Management Using Bioremediation</v>
      </c>
      <c r="B3755" t="str">
        <f>"9781466697348"</f>
        <v>9781466697348</v>
      </c>
      <c r="C3755">
        <v>133.30000000000001</v>
      </c>
      <c r="D3755" t="str">
        <f>"USD"</f>
        <v>USD</v>
      </c>
      <c r="E3755" t="str">
        <f>"2016"</f>
        <v>2016</v>
      </c>
      <c r="F3755" t="str">
        <f>"Ashok K. Rathoure"</f>
        <v>Ashok K. Rathoure</v>
      </c>
      <c r="G3755" t="str">
        <f>"arzinbooks"</f>
        <v>arzinbooks</v>
      </c>
    </row>
    <row r="3756" spans="1:7" x14ac:dyDescent="0.25">
      <c r="A3756" t="str">
        <f>"Trace Elements in Soils"</f>
        <v>Trace Elements in Soils</v>
      </c>
      <c r="B3756" t="str">
        <f>"9781405160377"</f>
        <v>9781405160377</v>
      </c>
      <c r="C3756">
        <v>70</v>
      </c>
      <c r="D3756" t="str">
        <f>"USD"</f>
        <v>USD</v>
      </c>
      <c r="E3756" t="str">
        <f>"2010"</f>
        <v>2010</v>
      </c>
      <c r="F3756" t="str">
        <f>"Hooda"</f>
        <v>Hooda</v>
      </c>
      <c r="G3756" t="str">
        <f>"avanddanesh"</f>
        <v>avanddanesh</v>
      </c>
    </row>
    <row r="3757" spans="1:7" x14ac:dyDescent="0.25">
      <c r="A3757" t="str">
        <f>"Trade in the Service of Sustainable Development : Linking Trade to Labour Rights and Environmental Standards"</f>
        <v>Trade in the Service of Sustainable Development : Linking Trade to Labour Rights and Environmental Standards</v>
      </c>
      <c r="B3757" t="str">
        <f>"9781782257158"</f>
        <v>9781782257158</v>
      </c>
      <c r="C3757">
        <v>32.5</v>
      </c>
      <c r="D3757" t="str">
        <f>"GBP"</f>
        <v>GBP</v>
      </c>
      <c r="E3757" t="str">
        <f>"2015"</f>
        <v>2015</v>
      </c>
      <c r="F3757" t="str">
        <f>"Olivier De Schutter"</f>
        <v>Olivier De Schutter</v>
      </c>
      <c r="G3757" t="str">
        <f>"arzinbooks"</f>
        <v>arzinbooks</v>
      </c>
    </row>
    <row r="3758" spans="1:7" x14ac:dyDescent="0.25">
      <c r="A3758" t="str">
        <f>"Trade-offs in Conservation: Deciding What to Save"</f>
        <v>Trade-offs in Conservation: Deciding What to Save</v>
      </c>
      <c r="B3758" t="str">
        <f>"9781405193832"</f>
        <v>9781405193832</v>
      </c>
      <c r="C3758">
        <v>50.4</v>
      </c>
      <c r="D3758" t="str">
        <f>"USD"</f>
        <v>USD</v>
      </c>
      <c r="E3758" t="str">
        <f>"2010"</f>
        <v>2010</v>
      </c>
      <c r="F3758" t="str">
        <f>"Leader-Williams"</f>
        <v>Leader-Williams</v>
      </c>
      <c r="G3758" t="str">
        <f>"safirketab"</f>
        <v>safirketab</v>
      </c>
    </row>
    <row r="3759" spans="1:7" x14ac:dyDescent="0.25">
      <c r="A3759" t="str">
        <f>"TRANSBORDER GOVERNANCE OF FORESTS, RIVERS AND SEAS"</f>
        <v>TRANSBORDER GOVERNANCE OF FORESTS, RIVERS AND SEAS</v>
      </c>
      <c r="B3759" t="str">
        <f>"9781849712231"</f>
        <v>9781849712231</v>
      </c>
      <c r="C3759">
        <v>18</v>
      </c>
      <c r="D3759" t="str">
        <f>"GBP"</f>
        <v>GBP</v>
      </c>
      <c r="E3759" t="str">
        <f>"2010"</f>
        <v>2010</v>
      </c>
      <c r="F3759" t="str">
        <f>"WIL DE JONG, DENYSE"</f>
        <v>WIL DE JONG, DENYSE</v>
      </c>
      <c r="G3759" t="str">
        <f>"AsarBartar"</f>
        <v>AsarBartar</v>
      </c>
    </row>
    <row r="3760" spans="1:7" x14ac:dyDescent="0.25">
      <c r="A3760" t="str">
        <f>"TRANSBOUNDARY WATER MANAGEMENT : PRINCIPLES AND PRACTIC"</f>
        <v>TRANSBOUNDARY WATER MANAGEMENT : PRINCIPLES AND PRACTIC</v>
      </c>
      <c r="B3760" t="str">
        <f>"9781849711388"</f>
        <v>9781849711388</v>
      </c>
      <c r="C3760">
        <v>10.5</v>
      </c>
      <c r="D3760" t="str">
        <f>"GBP"</f>
        <v>GBP</v>
      </c>
      <c r="E3760" t="str">
        <f>"2010"</f>
        <v>2010</v>
      </c>
      <c r="F3760" t="str">
        <f>"ANTON EARLE, ANDERS"</f>
        <v>ANTON EARLE, ANDERS</v>
      </c>
      <c r="G3760" t="str">
        <f>"AsarBartar"</f>
        <v>AsarBartar</v>
      </c>
    </row>
    <row r="3761" spans="1:7" x14ac:dyDescent="0.25">
      <c r="A3761" t="str">
        <f>"Transboundary Water Management and the Climate Change Debate"</f>
        <v>Transboundary Water Management and the Climate Change Debate</v>
      </c>
      <c r="B3761" t="str">
        <f>"9780415835152"</f>
        <v>9780415835152</v>
      </c>
      <c r="C3761">
        <v>25.5</v>
      </c>
      <c r="D3761" t="str">
        <f>"GBP"</f>
        <v>GBP</v>
      </c>
      <c r="E3761" t="str">
        <f>"2015"</f>
        <v>2015</v>
      </c>
      <c r="F3761" t="str">
        <f>"Joakim Ø¶jendal"</f>
        <v>Joakim Ø¶jendal</v>
      </c>
      <c r="G3761" t="str">
        <f>"AsarBartar"</f>
        <v>AsarBartar</v>
      </c>
    </row>
    <row r="3762" spans="1:7" x14ac:dyDescent="0.25">
      <c r="A3762" t="str">
        <f>"Transboundary Water Resources in Afghanistan, Climate Change and Land-Use Implications"</f>
        <v>Transboundary Water Resources in Afghanistan, Climate Change and Land-Use Implications</v>
      </c>
      <c r="B3762" t="str">
        <f>"9780128018866"</f>
        <v>9780128018866</v>
      </c>
      <c r="C3762">
        <v>89.95</v>
      </c>
      <c r="D3762" t="str">
        <f>"USD"</f>
        <v>USD</v>
      </c>
      <c r="E3762" t="str">
        <f>"2016"</f>
        <v>2016</v>
      </c>
      <c r="F3762" t="str">
        <f>"Shroder and Ahmadzai"</f>
        <v>Shroder and Ahmadzai</v>
      </c>
      <c r="G3762" t="str">
        <f>"arang"</f>
        <v>arang</v>
      </c>
    </row>
    <row r="3763" spans="1:7" x14ac:dyDescent="0.25">
      <c r="A3763" t="str">
        <f>"Transboundary Water Resources Management: A Multidisciplinary Approach"</f>
        <v>Transboundary Water Resources Management: A Multidisciplinary Approach</v>
      </c>
      <c r="B3763" t="str">
        <f>"9783527330140"</f>
        <v>9783527330140</v>
      </c>
      <c r="C3763">
        <v>72.8</v>
      </c>
      <c r="D3763" t="str">
        <f>"USD"</f>
        <v>USD</v>
      </c>
      <c r="E3763" t="str">
        <f>"2011"</f>
        <v>2011</v>
      </c>
      <c r="F3763" t="str">
        <f>"Ganoulis"</f>
        <v>Ganoulis</v>
      </c>
      <c r="G3763" t="str">
        <f>"avanddanesh"</f>
        <v>avanddanesh</v>
      </c>
    </row>
    <row r="3764" spans="1:7" x14ac:dyDescent="0.25">
      <c r="A3764" t="str">
        <f>"Transformation Products of Emerging Contaminants in the Environment: Analysis, Processes, Occurrence, Effects and Risks, 2V Set"</f>
        <v>Transformation Products of Emerging Contaminants in the Environment: Analysis, Processes, Occurrence, Effects and Risks, 2V Set</v>
      </c>
      <c r="B3764" t="str">
        <f>"9781118339596"</f>
        <v>9781118339596</v>
      </c>
      <c r="C3764">
        <v>228.8</v>
      </c>
      <c r="D3764" t="str">
        <f>"USD"</f>
        <v>USD</v>
      </c>
      <c r="E3764" t="str">
        <f>"2014"</f>
        <v>2014</v>
      </c>
      <c r="F3764" t="str">
        <f>"Lambropoulou"</f>
        <v>Lambropoulou</v>
      </c>
      <c r="G3764" t="str">
        <f>"avanddanesh"</f>
        <v>avanddanesh</v>
      </c>
    </row>
    <row r="3765" spans="1:7" x14ac:dyDescent="0.25">
      <c r="A3765" t="str">
        <f>"Transport, Climate Change and the City"</f>
        <v>Transport, Climate Change and the City</v>
      </c>
      <c r="B3765" t="str">
        <f>"9780415660037"</f>
        <v>9780415660037</v>
      </c>
      <c r="C3765">
        <v>25.6</v>
      </c>
      <c r="D3765" t="str">
        <f>"GBP"</f>
        <v>GBP</v>
      </c>
      <c r="E3765" t="str">
        <f>"2014"</f>
        <v>2014</v>
      </c>
      <c r="F3765" t="str">
        <f>"DAVID BANISTER"</f>
        <v>DAVID BANISTER</v>
      </c>
      <c r="G3765" t="str">
        <f>"AsarBartar"</f>
        <v>AsarBartar</v>
      </c>
    </row>
    <row r="3766" spans="1:7" x14ac:dyDescent="0.25">
      <c r="A3766" t="str">
        <f>"TRANSPORT, THE ENVIRONMENT AND SECURITY"</f>
        <v>TRANSPORT, THE ENVIRONMENT AND SECURITY</v>
      </c>
      <c r="B3766" t="str">
        <f>"9781849800204"</f>
        <v>9781849800204</v>
      </c>
      <c r="C3766">
        <v>45</v>
      </c>
      <c r="D3766" t="str">
        <f>"GBP"</f>
        <v>GBP</v>
      </c>
      <c r="E3766" t="str">
        <f>"2012"</f>
        <v>2012</v>
      </c>
      <c r="F3766" t="str">
        <f>"ZIMMERMAN, R."</f>
        <v>ZIMMERMAN, R.</v>
      </c>
      <c r="G3766" t="str">
        <f>"AsarBartar"</f>
        <v>AsarBartar</v>
      </c>
    </row>
    <row r="3767" spans="1:7" x14ac:dyDescent="0.25">
      <c r="A3767" t="str">
        <f>"Trends and Directions in Climate Research"</f>
        <v>Trends and Directions in Climate Research</v>
      </c>
      <c r="B3767" t="str">
        <f>"9781573317320"</f>
        <v>9781573317320</v>
      </c>
      <c r="C3767">
        <v>88.18</v>
      </c>
      <c r="D3767" t="str">
        <f>"USD"</f>
        <v>USD</v>
      </c>
      <c r="E3767" t="str">
        <f>"2009"</f>
        <v>2009</v>
      </c>
      <c r="F3767" t="str">
        <f>"Gimeno"</f>
        <v>Gimeno</v>
      </c>
      <c r="G3767" t="str">
        <f>"safirketab"</f>
        <v>safirketab</v>
      </c>
    </row>
    <row r="3768" spans="1:7" x14ac:dyDescent="0.25">
      <c r="A3768" t="str">
        <f>"Tropical Conservation Biology"</f>
        <v>Tropical Conservation Biology</v>
      </c>
      <c r="B3768" t="str">
        <f>"9781405150736"</f>
        <v>9781405150736</v>
      </c>
      <c r="C3768">
        <v>41.97</v>
      </c>
      <c r="D3768" t="str">
        <f>"USD"</f>
        <v>USD</v>
      </c>
      <c r="E3768" t="str">
        <f>"2007"</f>
        <v>2007</v>
      </c>
      <c r="F3768" t="str">
        <f>"Sodhi"</f>
        <v>Sodhi</v>
      </c>
      <c r="G3768" t="str">
        <f>"safirketab"</f>
        <v>safirketab</v>
      </c>
    </row>
    <row r="3769" spans="1:7" x14ac:dyDescent="0.25">
      <c r="A3769" t="str">
        <f>"Tropical Forest Conservation and Industry Partnership: An Experience from the Congo Basin"</f>
        <v>Tropical Forest Conservation and Industry Partnership: An Experience from the Congo Basin</v>
      </c>
      <c r="B3769" t="str">
        <f>"9780470673737"</f>
        <v>9780470673737</v>
      </c>
      <c r="C3769">
        <v>72</v>
      </c>
      <c r="D3769" t="str">
        <f>"USD"</f>
        <v>USD</v>
      </c>
      <c r="E3769" t="str">
        <f>"2012"</f>
        <v>2012</v>
      </c>
      <c r="F3769" t="str">
        <f>"Clark"</f>
        <v>Clark</v>
      </c>
      <c r="G3769" t="str">
        <f>"avanddanesh"</f>
        <v>avanddanesh</v>
      </c>
    </row>
    <row r="3770" spans="1:7" x14ac:dyDescent="0.25">
      <c r="A3770" t="str">
        <f>"Tropical Fruit Tree Diversity: Good practices for in situ and on-farm conservation (Issues in Agricultural Biodiversity)"</f>
        <v>Tropical Fruit Tree Diversity: Good practices for in situ and on-farm conservation (Issues in Agricultural Biodiversity)</v>
      </c>
      <c r="B3770" t="str">
        <f>"9781138781276"</f>
        <v>9781138781276</v>
      </c>
      <c r="C3770">
        <v>76.5</v>
      </c>
      <c r="D3770" t="str">
        <f>"GBP"</f>
        <v>GBP</v>
      </c>
      <c r="E3770" t="str">
        <f>"2016"</f>
        <v>2016</v>
      </c>
      <c r="F3770" t="str">
        <f>"Bhuwon Sthapit(Edit"</f>
        <v>Bhuwon Sthapit(Edit</v>
      </c>
      <c r="G3770" t="str">
        <f>"AsarBartar"</f>
        <v>AsarBartar</v>
      </c>
    </row>
    <row r="3771" spans="1:7" x14ac:dyDescent="0.25">
      <c r="A3771" t="str">
        <f>"Tropical Island Recovery"</f>
        <v>Tropical Island Recovery</v>
      </c>
      <c r="B3771" t="str">
        <f>"9781444333091"</f>
        <v>9781444333091</v>
      </c>
      <c r="C3771">
        <v>50</v>
      </c>
      <c r="D3771" t="str">
        <f>"USD"</f>
        <v>USD</v>
      </c>
      <c r="E3771" t="str">
        <f>"2010"</f>
        <v>2010</v>
      </c>
      <c r="F3771" t="str">
        <f>"Samways"</f>
        <v>Samways</v>
      </c>
      <c r="G3771" t="str">
        <f>"avanddanesh"</f>
        <v>avanddanesh</v>
      </c>
    </row>
    <row r="3772" spans="1:7" x14ac:dyDescent="0.25">
      <c r="A3772" t="str">
        <f>"Tropical Island Recovery - Cousine Island, Seychelles"</f>
        <v>Tropical Island Recovery - Cousine Island, Seychelles</v>
      </c>
      <c r="B3772" t="str">
        <f>"9781444333091"</f>
        <v>9781444333091</v>
      </c>
      <c r="C3772">
        <v>50</v>
      </c>
      <c r="D3772" t="str">
        <f>"USD"</f>
        <v>USD</v>
      </c>
      <c r="E3772" t="str">
        <f>"2010"</f>
        <v>2010</v>
      </c>
      <c r="F3772" t="str">
        <f>"Samways"</f>
        <v>Samways</v>
      </c>
      <c r="G3772" t="str">
        <f>"safirketab"</f>
        <v>safirketab</v>
      </c>
    </row>
    <row r="3773" spans="1:7" x14ac:dyDescent="0.25">
      <c r="A3773" t="str">
        <f>"Tropical Rain Forests: An Ecological and Biogeographical Comparison"</f>
        <v>Tropical Rain Forests: An Ecological and Biogeographical Comparison</v>
      </c>
      <c r="B3773" t="str">
        <f>"9780632045136"</f>
        <v>9780632045136</v>
      </c>
      <c r="C3773">
        <v>46</v>
      </c>
      <c r="D3773" t="str">
        <f>"USD"</f>
        <v>USD</v>
      </c>
      <c r="E3773" t="str">
        <f>"2004"</f>
        <v>2004</v>
      </c>
      <c r="F3773" t="str">
        <f>"Primack"</f>
        <v>Primack</v>
      </c>
      <c r="G3773" t="str">
        <f>"avanddanesh"</f>
        <v>avanddanesh</v>
      </c>
    </row>
    <row r="3774" spans="1:7" x14ac:dyDescent="0.25">
      <c r="A3774" t="str">
        <f>"Tropical Rain Forests: An Ecological and Biogeographical Comparison,2e"</f>
        <v>Tropical Rain Forests: An Ecological and Biogeographical Comparison,2e</v>
      </c>
      <c r="B3774" t="str">
        <f>"9781444332551"</f>
        <v>9781444332551</v>
      </c>
      <c r="C3774">
        <v>24</v>
      </c>
      <c r="D3774" t="str">
        <f>"USD"</f>
        <v>USD</v>
      </c>
      <c r="E3774" t="str">
        <f>"2011"</f>
        <v>2011</v>
      </c>
      <c r="F3774" t="str">
        <f>"Corlett"</f>
        <v>Corlett</v>
      </c>
      <c r="G3774" t="str">
        <f>"avanddanesh"</f>
        <v>avanddanesh</v>
      </c>
    </row>
    <row r="3775" spans="1:7" x14ac:dyDescent="0.25">
      <c r="A3775" t="str">
        <f>"Tsunamis in the European-Mediterranean Region, From Historical Record to Risk Mitigation"</f>
        <v>Tsunamis in the European-Mediterranean Region, From Historical Record to Risk Mitigation</v>
      </c>
      <c r="B3775" t="str">
        <f>"9780124202245"</f>
        <v>9780124202245</v>
      </c>
      <c r="C3775">
        <v>116.95</v>
      </c>
      <c r="D3775" t="str">
        <f>"USD"</f>
        <v>USD</v>
      </c>
      <c r="E3775" t="str">
        <f>"2015"</f>
        <v>2015</v>
      </c>
      <c r="F3775" t="str">
        <f>"Papadopoulos"</f>
        <v>Papadopoulos</v>
      </c>
      <c r="G3775" t="str">
        <f>"arang"</f>
        <v>arang</v>
      </c>
    </row>
    <row r="3776" spans="1:7" x14ac:dyDescent="0.25">
      <c r="A3776" t="str">
        <f>"Uncertainty and the Philosophy of Climate Change"</f>
        <v>Uncertainty and the Philosophy of Climate Change</v>
      </c>
      <c r="B3776" t="str">
        <f>"9781138793927"</f>
        <v>9781138793927</v>
      </c>
      <c r="C3776">
        <v>27.2</v>
      </c>
      <c r="D3776" t="str">
        <f>"GBP"</f>
        <v>GBP</v>
      </c>
      <c r="E3776" t="str">
        <f>"2015"</f>
        <v>2015</v>
      </c>
      <c r="F3776" t="str">
        <f>"Martin Bunzl"</f>
        <v>Martin Bunzl</v>
      </c>
      <c r="G3776" t="str">
        <f>"AsarBartar"</f>
        <v>AsarBartar</v>
      </c>
    </row>
    <row r="3777" spans="1:7" x14ac:dyDescent="0.25">
      <c r="A3777" t="str">
        <f>"Understanding and managing Diversity"</f>
        <v>Understanding and managing Diversity</v>
      </c>
      <c r="B3777" t="str">
        <f>"9789332555211"</f>
        <v>9789332555211</v>
      </c>
      <c r="C3777">
        <v>13.6</v>
      </c>
      <c r="D3777" t="str">
        <f>"USD"</f>
        <v>USD</v>
      </c>
      <c r="E3777" t="str">
        <f>"2015"</f>
        <v>2015</v>
      </c>
      <c r="F3777" t="str">
        <f>"Harvery"</f>
        <v>Harvery</v>
      </c>
      <c r="G3777" t="str">
        <f>"jahanadib"</f>
        <v>jahanadib</v>
      </c>
    </row>
    <row r="3778" spans="1:7" x14ac:dyDescent="0.25">
      <c r="A3778" t="str">
        <f>"Understanding Catchment Processes and Hydrological Modelling in the Abay/Upper Blue Nile Basin, Ethiopia"</f>
        <v>Understanding Catchment Processes and Hydrological Modelling in the Abay/Upper Blue Nile Basin, Ethiopia</v>
      </c>
      <c r="B3778" t="str">
        <f>"9781138027923"</f>
        <v>9781138027923</v>
      </c>
      <c r="C3778">
        <v>41.6</v>
      </c>
      <c r="D3778" t="str">
        <f>"GBP"</f>
        <v>GBP</v>
      </c>
      <c r="E3778" t="str">
        <f>"2015"</f>
        <v>2015</v>
      </c>
      <c r="F3778" t="str">
        <f>"Sirak Tekleab Gebre"</f>
        <v>Sirak Tekleab Gebre</v>
      </c>
      <c r="G3778" t="str">
        <f>"AsarBartar"</f>
        <v>AsarBartar</v>
      </c>
    </row>
    <row r="3779" spans="1:7" x14ac:dyDescent="0.25">
      <c r="A3779" t="str">
        <f>"UNDERSTANDING ENVIRONMENT, HB"</f>
        <v>UNDERSTANDING ENVIRONMENT, HB</v>
      </c>
      <c r="B3779" t="str">
        <f>"9788189473853"</f>
        <v>9788189473853</v>
      </c>
      <c r="C3779">
        <v>37.31</v>
      </c>
      <c r="D3779" t="str">
        <f>"USD"</f>
        <v>USD</v>
      </c>
      <c r="E3779" t="str">
        <f>"2009"</f>
        <v>2009</v>
      </c>
      <c r="F3779" t="str">
        <f>"Kumar"</f>
        <v>Kumar</v>
      </c>
      <c r="G3779" t="str">
        <f>"supply"</f>
        <v>supply</v>
      </c>
    </row>
    <row r="3780" spans="1:7" x14ac:dyDescent="0.25">
      <c r="A3780" t="str">
        <f>"UNDERSTANDING HYDROLOGICAL VARIABILITY FOR IMPROVED WATER MANAGEMENT IN THE SEMIARID KARKHEH BASIN,"</f>
        <v>UNDERSTANDING HYDROLOGICAL VARIABILITY FOR IMPROVED WATER MANAGEMENT IN THE SEMIARID KARKHEH BASIN,</v>
      </c>
      <c r="B3780" t="str">
        <f>"9780415689816"</f>
        <v>9780415689816</v>
      </c>
      <c r="C3780">
        <v>11.69</v>
      </c>
      <c r="D3780" t="str">
        <f>"GBP"</f>
        <v>GBP</v>
      </c>
      <c r="E3780" t="str">
        <f>"2011"</f>
        <v>2011</v>
      </c>
      <c r="F3780" t="str">
        <f>"MASIH"</f>
        <v>MASIH</v>
      </c>
      <c r="G3780" t="str">
        <f>"AsarBartar"</f>
        <v>AsarBartar</v>
      </c>
    </row>
    <row r="3781" spans="1:7" x14ac:dyDescent="0.25">
      <c r="A3781" t="str">
        <f>"Understanding Mathematical and Statistical Techniques in Hydrology: An Examples-based Approach"</f>
        <v>Understanding Mathematical and Statistical Techniques in Hydrology: An Examples-based Approach</v>
      </c>
      <c r="B3781" t="str">
        <f>"9781444335491"</f>
        <v>9781444335491</v>
      </c>
      <c r="C3781">
        <v>51</v>
      </c>
      <c r="D3781" t="str">
        <f>"USD"</f>
        <v>USD</v>
      </c>
      <c r="E3781" t="str">
        <f>"2016"</f>
        <v>2016</v>
      </c>
      <c r="F3781" t="str">
        <f>"Rodda"</f>
        <v>Rodda</v>
      </c>
      <c r="G3781" t="str">
        <f>"avanddanesh"</f>
        <v>avanddanesh</v>
      </c>
    </row>
    <row r="3782" spans="1:7" x14ac:dyDescent="0.25">
      <c r="A3782" t="str">
        <f>"Understanding Sea-level Rise and Variability"</f>
        <v>Understanding Sea-level Rise and Variability</v>
      </c>
      <c r="B3782" t="str">
        <f>"9781444334524"</f>
        <v>9781444334524</v>
      </c>
      <c r="C3782">
        <v>28</v>
      </c>
      <c r="D3782" t="str">
        <f>"USD"</f>
        <v>USD</v>
      </c>
      <c r="E3782" t="str">
        <f>"2010"</f>
        <v>2010</v>
      </c>
      <c r="F3782" t="str">
        <f>"Church"</f>
        <v>Church</v>
      </c>
      <c r="G3782" t="str">
        <f>"avanddanesh"</f>
        <v>avanddanesh</v>
      </c>
    </row>
    <row r="3783" spans="1:7" x14ac:dyDescent="0.25">
      <c r="A3783" t="str">
        <f>"Understanding Spatial Media"</f>
        <v>Understanding Spatial Media</v>
      </c>
      <c r="B3783" t="str">
        <f>"9781473949683"</f>
        <v>9781473949683</v>
      </c>
      <c r="C3783">
        <v>22.4</v>
      </c>
      <c r="D3783" t="str">
        <f>"GBP"</f>
        <v>GBP</v>
      </c>
      <c r="E3783" t="str">
        <f>"2017"</f>
        <v>2017</v>
      </c>
      <c r="F3783" t="str">
        <f>"Rob Kitchin et al"</f>
        <v>Rob Kitchin et al</v>
      </c>
      <c r="G3783" t="str">
        <f>"arzinbooks"</f>
        <v>arzinbooks</v>
      </c>
    </row>
    <row r="3784" spans="1:7" x14ac:dyDescent="0.25">
      <c r="A3784" t="str">
        <f>"Understanding Statistical Error: A Primer for Biologists"</f>
        <v>Understanding Statistical Error: A Primer for Biologists</v>
      </c>
      <c r="B3784" t="str">
        <f>"9781119106913"</f>
        <v>9781119106913</v>
      </c>
      <c r="C3784">
        <v>51</v>
      </c>
      <c r="D3784" t="str">
        <f>"USD"</f>
        <v>USD</v>
      </c>
      <c r="E3784" t="str">
        <f>"2016"</f>
        <v>2016</v>
      </c>
      <c r="F3784" t="str">
        <f>"Gierlinski"</f>
        <v>Gierlinski</v>
      </c>
      <c r="G3784" t="str">
        <f>"avanddanesh"</f>
        <v>avanddanesh</v>
      </c>
    </row>
    <row r="3785" spans="1:7" x14ac:dyDescent="0.25">
      <c r="A3785" t="str">
        <f>"Unit Operations in Environmental Engineering"</f>
        <v>Unit Operations in Environmental Engineering</v>
      </c>
      <c r="B3785" t="str">
        <f>"9781119283638"</f>
        <v>9781119283638</v>
      </c>
      <c r="C3785">
        <v>220.5</v>
      </c>
      <c r="D3785" t="str">
        <f>"USD"</f>
        <v>USD</v>
      </c>
      <c r="E3785" t="str">
        <f>"2017"</f>
        <v>2017</v>
      </c>
      <c r="F3785" t="str">
        <f>"Theodore"</f>
        <v>Theodore</v>
      </c>
      <c r="G3785" t="str">
        <f>"avanddanesh"</f>
        <v>avanddanesh</v>
      </c>
    </row>
    <row r="3786" spans="1:7" x14ac:dyDescent="0.25">
      <c r="A3786" t="str">
        <f>"UNLOCKING THE GLOBAL WARMING TOOLBOX : Key Choices For Carbon Restriction And Sequestration, HB"</f>
        <v>UNLOCKING THE GLOBAL WARMING TOOLBOX : Key Choices For Carbon Restriction And Sequestration, HB</v>
      </c>
      <c r="B3786" t="str">
        <f>"9781593702137"</f>
        <v>9781593702137</v>
      </c>
      <c r="C3786">
        <v>62.3</v>
      </c>
      <c r="D3786" t="str">
        <f>"USD"</f>
        <v>USD</v>
      </c>
      <c r="E3786" t="str">
        <f>"2010"</f>
        <v>2010</v>
      </c>
      <c r="F3786" t="str">
        <f>"Ferrey"</f>
        <v>Ferrey</v>
      </c>
      <c r="G3786" t="str">
        <f>"supply"</f>
        <v>supply</v>
      </c>
    </row>
    <row r="3787" spans="1:7" x14ac:dyDescent="0.25">
      <c r="A3787" t="str">
        <f>"Unsteady Flow in Open ChannelsÂ "</f>
        <v>Unsteady Flow in Open ChannelsÂ </v>
      </c>
      <c r="B3787" t="str">
        <f>"9781107150294"</f>
        <v>9781107150294</v>
      </c>
      <c r="C3787">
        <v>33.799999999999997</v>
      </c>
      <c r="D3787" t="str">
        <f>"GBP"</f>
        <v>GBP</v>
      </c>
      <c r="E3787" t="str">
        <f>"2017"</f>
        <v>2017</v>
      </c>
      <c r="F3787" t="str">
        <f>"Jurjen A. Battjes , "</f>
        <v xml:space="preserve">Jurjen A. Battjes , </v>
      </c>
      <c r="G3787" t="str">
        <f>"arzinbooks"</f>
        <v>arzinbooks</v>
      </c>
    </row>
    <row r="3788" spans="1:7" x14ac:dyDescent="0.25">
      <c r="A3788" t="str">
        <f>"Uranium"</f>
        <v>Uranium</v>
      </c>
      <c r="B3788" t="str">
        <f>"9780745670522"</f>
        <v>9780745670522</v>
      </c>
      <c r="C3788">
        <v>18</v>
      </c>
      <c r="D3788" t="str">
        <f>"USD"</f>
        <v>USD</v>
      </c>
      <c r="E3788" t="str">
        <f>"2017"</f>
        <v>2017</v>
      </c>
      <c r="F3788" t="str">
        <f>"Burke"</f>
        <v>Burke</v>
      </c>
      <c r="G3788" t="str">
        <f>"avanddanesh"</f>
        <v>avanddanesh</v>
      </c>
    </row>
    <row r="3789" spans="1:7" x14ac:dyDescent="0.25">
      <c r="A3789" t="str">
        <f>"URBAN AND HIGHWAY STORMWATER POLLUTION"</f>
        <v>URBAN AND HIGHWAY STORMWATER POLLUTION</v>
      </c>
      <c r="B3789" t="str">
        <f>"9781439826850"</f>
        <v>9781439826850</v>
      </c>
      <c r="C3789">
        <v>23.09</v>
      </c>
      <c r="D3789" t="str">
        <f>"GBP"</f>
        <v>GBP</v>
      </c>
      <c r="E3789" t="str">
        <f>"2010"</f>
        <v>2010</v>
      </c>
      <c r="F3789" t="str">
        <f>"HVITVED-JACOBSEN, T"</f>
        <v>HVITVED-JACOBSEN, T</v>
      </c>
      <c r="G3789" t="str">
        <f>"AsarBartar"</f>
        <v>AsarBartar</v>
      </c>
    </row>
    <row r="3790" spans="1:7" x14ac:dyDescent="0.25">
      <c r="A3790" t="str">
        <f>"Urban Biodiversity and Design"</f>
        <v>Urban Biodiversity and Design</v>
      </c>
      <c r="B3790" t="str">
        <f>"9781444332674"</f>
        <v>9781444332674</v>
      </c>
      <c r="C3790">
        <v>36</v>
      </c>
      <c r="D3790" t="str">
        <f>"USD"</f>
        <v>USD</v>
      </c>
      <c r="E3790" t="str">
        <f>"2010"</f>
        <v>2010</v>
      </c>
      <c r="F3790" t="str">
        <f>"Muller"</f>
        <v>Muller</v>
      </c>
      <c r="G3790" t="str">
        <f>"avanddanesh"</f>
        <v>avanddanesh</v>
      </c>
    </row>
    <row r="3791" spans="1:7" x14ac:dyDescent="0.25">
      <c r="A3791" t="str">
        <f>"Urban Biodiversity and Design"</f>
        <v>Urban Biodiversity and Design</v>
      </c>
      <c r="B3791" t="str">
        <f>"9781444332674"</f>
        <v>9781444332674</v>
      </c>
      <c r="C3791">
        <v>36</v>
      </c>
      <c r="D3791" t="str">
        <f>"USD"</f>
        <v>USD</v>
      </c>
      <c r="E3791" t="str">
        <f>"2010"</f>
        <v>2010</v>
      </c>
      <c r="F3791" t="str">
        <f>"Muller"</f>
        <v>Muller</v>
      </c>
      <c r="G3791" t="str">
        <f>"safirketab"</f>
        <v>safirketab</v>
      </c>
    </row>
    <row r="3792" spans="1:7" x14ac:dyDescent="0.25">
      <c r="A3792" t="str">
        <f>"URBAN HYDROINFORMATICS: DATA, MODELS AND DECISION SUPPO"</f>
        <v>URBAN HYDROINFORMATICS: DATA, MODELS AND DECISION SUPPO</v>
      </c>
      <c r="B3792" t="str">
        <f>"9781843392743"</f>
        <v>9781843392743</v>
      </c>
      <c r="C3792">
        <v>31.5</v>
      </c>
      <c r="D3792" t="str">
        <f>"GBP"</f>
        <v>GBP</v>
      </c>
      <c r="E3792" t="str">
        <f>"2011"</f>
        <v>2011</v>
      </c>
      <c r="F3792" t="str">
        <f>"ROLAND PRICE AND ZO"</f>
        <v>ROLAND PRICE AND ZO</v>
      </c>
      <c r="G3792" t="str">
        <f>"AsarBartar"</f>
        <v>AsarBartar</v>
      </c>
    </row>
    <row r="3793" spans="1:7" x14ac:dyDescent="0.25">
      <c r="A3793" t="str">
        <f>"Urban Hydrology. Watershed Management and Socio-Economic Aspects"</f>
        <v>Urban Hydrology. Watershed Management and Socio-Economic Aspects</v>
      </c>
      <c r="B3793" t="str">
        <f>"9783319401942"</f>
        <v>9783319401942</v>
      </c>
      <c r="C3793">
        <v>107.99</v>
      </c>
      <c r="D3793" t="str">
        <f>"EUR"</f>
        <v>EUR</v>
      </c>
      <c r="E3793" t="str">
        <f>"2016"</f>
        <v>2016</v>
      </c>
      <c r="F3793" t="str">
        <f>"Sarma"</f>
        <v>Sarma</v>
      </c>
      <c r="G3793" t="str">
        <f>"negarestanabi"</f>
        <v>negarestanabi</v>
      </c>
    </row>
    <row r="3794" spans="1:7" x14ac:dyDescent="0.25">
      <c r="A3794" t="str">
        <f>"Urban Pollution and Changes to Materials and Building Surfaces"</f>
        <v>Urban Pollution and Changes to Materials and Building Surfaces</v>
      </c>
      <c r="B3794" t="str">
        <f>"9781783268856"</f>
        <v>9781783268856</v>
      </c>
      <c r="C3794">
        <v>97.75</v>
      </c>
      <c r="D3794" t="str">
        <f>"GBP"</f>
        <v>GBP</v>
      </c>
      <c r="E3794" t="str">
        <f>"2016"</f>
        <v>2016</v>
      </c>
      <c r="F3794" t="str">
        <f>"Peter Brimblecombe"</f>
        <v>Peter Brimblecombe</v>
      </c>
      <c r="G3794" t="str">
        <f>"AsarBartar"</f>
        <v>AsarBartar</v>
      </c>
    </row>
    <row r="3795" spans="1:7" x14ac:dyDescent="0.25">
      <c r="A3795" t="str">
        <f>"Urban Recycling Cooperatives: Building resilient communities (Routledge Advances in Regional Economics, Science and Policy)"</f>
        <v>Urban Recycling Cooperatives: Building resilient communities (Routledge Advances in Regional Economics, Science and Policy)</v>
      </c>
      <c r="B3795" t="str">
        <f>"9781138921160"</f>
        <v>9781138921160</v>
      </c>
      <c r="C3795">
        <v>99</v>
      </c>
      <c r="D3795" t="str">
        <f>"GBP"</f>
        <v>GBP</v>
      </c>
      <c r="E3795" t="str">
        <f>"2016"</f>
        <v>2016</v>
      </c>
      <c r="F3795" t="str">
        <f>"GUTBERLET"</f>
        <v>GUTBERLET</v>
      </c>
      <c r="G3795" t="str">
        <f>"sal"</f>
        <v>sal</v>
      </c>
    </row>
    <row r="3796" spans="1:7" x14ac:dyDescent="0.25">
      <c r="A3796" t="str">
        <f>"Urban Regeneration"</f>
        <v>Urban Regeneration</v>
      </c>
      <c r="B3796" t="str">
        <f>"9781446252611"</f>
        <v>9781446252611</v>
      </c>
      <c r="C3796">
        <v>63.75</v>
      </c>
      <c r="D3796" t="str">
        <f>"GBP"</f>
        <v>GBP</v>
      </c>
      <c r="E3796" t="str">
        <f>"2016"</f>
        <v>2016</v>
      </c>
      <c r="F3796" t="str">
        <f>"Peter Roberts e"</f>
        <v>Peter Roberts e</v>
      </c>
      <c r="G3796" t="str">
        <f>"kowkab"</f>
        <v>kowkab</v>
      </c>
    </row>
    <row r="3797" spans="1:7" x14ac:dyDescent="0.25">
      <c r="A3797" t="str">
        <f>"Urban Regeneration"</f>
        <v>Urban Regeneration</v>
      </c>
      <c r="B3797" t="str">
        <f>"9781446252628"</f>
        <v>9781446252628</v>
      </c>
      <c r="C3797">
        <v>22.49</v>
      </c>
      <c r="D3797" t="str">
        <f>"GBP"</f>
        <v>GBP</v>
      </c>
      <c r="E3797" t="str">
        <f>"2016"</f>
        <v>2016</v>
      </c>
      <c r="F3797" t="str">
        <f>"Peter Roberts e"</f>
        <v>Peter Roberts e</v>
      </c>
      <c r="G3797" t="str">
        <f>"kowkab"</f>
        <v>kowkab</v>
      </c>
    </row>
    <row r="3798" spans="1:7" x14ac:dyDescent="0.25">
      <c r="A3798" t="str">
        <f>"Urban Water Distribution Networks, Assessing Systems Vulnerabilities, Failures, and Risks"</f>
        <v>Urban Water Distribution Networks, Assessing Systems Vulnerabilities, Failures, and Risks</v>
      </c>
      <c r="B3798" t="str">
        <f>"9780128136522"</f>
        <v>9780128136522</v>
      </c>
      <c r="C3798">
        <v>121.5</v>
      </c>
      <c r="D3798" t="str">
        <f>"USD"</f>
        <v>USD</v>
      </c>
      <c r="E3798" t="str">
        <f>"2017"</f>
        <v>2017</v>
      </c>
      <c r="F3798" t="str">
        <f>"Christodoulou et al"</f>
        <v>Christodoulou et al</v>
      </c>
      <c r="G3798" t="str">
        <f>"arang"</f>
        <v>arang</v>
      </c>
    </row>
    <row r="3799" spans="1:7" x14ac:dyDescent="0.25">
      <c r="A3799" t="str">
        <f>"Urban Water Security"</f>
        <v>Urban Water Security</v>
      </c>
      <c r="B3799" t="str">
        <f>"9781119131724"</f>
        <v>9781119131724</v>
      </c>
      <c r="C3799">
        <v>80.8</v>
      </c>
      <c r="D3799" t="str">
        <f>"USD"</f>
        <v>USD</v>
      </c>
      <c r="E3799" t="str">
        <f>"2016"</f>
        <v>2016</v>
      </c>
      <c r="F3799" t="str">
        <f>"Brears"</f>
        <v>Brears</v>
      </c>
      <c r="G3799" t="str">
        <f>"avanddanesh"</f>
        <v>avanddanesh</v>
      </c>
    </row>
    <row r="3800" spans="1:7" x14ac:dyDescent="0.25">
      <c r="A3800" t="str">
        <f>"Urban Water Sustainability: Constructing Infrastructure for Cities and Nature (Earthscan Studies in Water Resource Management)"</f>
        <v>Urban Water Sustainability: Constructing Infrastructure for Cities and Nature (Earthscan Studies in Water Resource Management)</v>
      </c>
      <c r="B3800" t="str">
        <f>"9781138929906"</f>
        <v>9781138929906</v>
      </c>
      <c r="C3800">
        <v>99</v>
      </c>
      <c r="D3800" t="str">
        <f>"GBP"</f>
        <v>GBP</v>
      </c>
      <c r="E3800" t="str">
        <f>"2018"</f>
        <v>2018</v>
      </c>
      <c r="F3800" t="str">
        <f>"Bell"</f>
        <v>Bell</v>
      </c>
      <c r="G3800" t="str">
        <f>"sal"</f>
        <v>sal</v>
      </c>
    </row>
    <row r="3801" spans="1:7" x14ac:dyDescent="0.25">
      <c r="A3801" t="str">
        <f>"Using Geodata and Geolocation in the Social Sciences"</f>
        <v>Using Geodata and Geolocation in the Social Sciences</v>
      </c>
      <c r="B3801" t="str">
        <f>"9781473908185"</f>
        <v>9781473908185</v>
      </c>
      <c r="C3801">
        <v>20.99</v>
      </c>
      <c r="D3801" t="str">
        <f>"GBP"</f>
        <v>GBP</v>
      </c>
      <c r="E3801" t="str">
        <f>"2016"</f>
        <v>2016</v>
      </c>
      <c r="F3801" t="str">
        <f>"David Abernathy"</f>
        <v>David Abernathy</v>
      </c>
      <c r="G3801" t="str">
        <f>"kowkab"</f>
        <v>kowkab</v>
      </c>
    </row>
    <row r="3802" spans="1:7" x14ac:dyDescent="0.25">
      <c r="A3802" t="str">
        <f>"Using Geodata and Geolocation in the Social Sciences"</f>
        <v>Using Geodata and Geolocation in the Social Sciences</v>
      </c>
      <c r="B3802" t="str">
        <f>"9781473908178"</f>
        <v>9781473908178</v>
      </c>
      <c r="C3802">
        <v>63.75</v>
      </c>
      <c r="D3802" t="str">
        <f>"GBP"</f>
        <v>GBP</v>
      </c>
      <c r="E3802" t="str">
        <f>"2016"</f>
        <v>2016</v>
      </c>
      <c r="F3802" t="str">
        <f>"David Abernathy"</f>
        <v>David Abernathy</v>
      </c>
      <c r="G3802" t="str">
        <f>"kowkab"</f>
        <v>kowkab</v>
      </c>
    </row>
    <row r="3803" spans="1:7" x14ac:dyDescent="0.25">
      <c r="A3803" t="str">
        <f>"Using R for Digital Soil Mapping"</f>
        <v>Using R for Digital Soil Mapping</v>
      </c>
      <c r="B3803" t="str">
        <f>"9783319443256"</f>
        <v>9783319443256</v>
      </c>
      <c r="C3803">
        <v>107.99</v>
      </c>
      <c r="D3803" t="str">
        <f>"EUR"</f>
        <v>EUR</v>
      </c>
      <c r="E3803" t="str">
        <f>"2017"</f>
        <v>2017</v>
      </c>
      <c r="F3803" t="str">
        <f>"Malone"</f>
        <v>Malone</v>
      </c>
      <c r="G3803" t="str">
        <f>"negarestanabi"</f>
        <v>negarestanabi</v>
      </c>
    </row>
    <row r="3804" spans="1:7" x14ac:dyDescent="0.25">
      <c r="A3804" t="str">
        <f>"Using Risk Analysis for Flood Protection Assessment"</f>
        <v>Using Risk Analysis for Flood Protection Assessment</v>
      </c>
      <c r="B3804" t="str">
        <f>"9783319521497"</f>
        <v>9783319521497</v>
      </c>
      <c r="C3804">
        <v>89.99</v>
      </c>
      <c r="D3804" t="str">
        <f>"EUR"</f>
        <v>EUR</v>
      </c>
      <c r="E3804" t="str">
        <f>"2017"</f>
        <v>2017</v>
      </c>
      <c r="F3804" t="str">
        <f>"ZeleÅˆÃ¡kovÃ¡"</f>
        <v>ZeleÅˆÃ¡kovÃ¡</v>
      </c>
      <c r="G3804" t="str">
        <f>"negarestanabi"</f>
        <v>negarestanabi</v>
      </c>
    </row>
    <row r="3805" spans="1:7" x14ac:dyDescent="0.25">
      <c r="A3805" t="str">
        <f>"Utilizing Innovative Technologies to Address the Public Health Impact of Climate Change: Emerging Research and Opportunities"</f>
        <v>Utilizing Innovative Technologies to Address the Public Health Impact of Climate Change: Emerging Research and Opportunities</v>
      </c>
      <c r="B3805" t="str">
        <f>"9781522534143"</f>
        <v>9781522534143</v>
      </c>
      <c r="C3805">
        <v>138.80000000000001</v>
      </c>
      <c r="D3805" t="str">
        <f>"USD"</f>
        <v>USD</v>
      </c>
      <c r="E3805" t="str">
        <f>"2018"</f>
        <v>2018</v>
      </c>
      <c r="F3805" t="str">
        <f>"Debra Weiss-Randall"</f>
        <v>Debra Weiss-Randall</v>
      </c>
      <c r="G3805" t="str">
        <f>"arzinbooks"</f>
        <v>arzinbooks</v>
      </c>
    </row>
    <row r="3806" spans="1:7" x14ac:dyDescent="0.25">
      <c r="A3806" t="str">
        <f>"UV-B Radiation: From Environmental Stressor to Regulator of Plant Growth"</f>
        <v>UV-B Radiation: From Environmental Stressor to Regulator of Plant Growth</v>
      </c>
      <c r="B3806" t="str">
        <f>"9781119143604"</f>
        <v>9781119143604</v>
      </c>
      <c r="C3806">
        <v>171</v>
      </c>
      <c r="D3806" t="str">
        <f>"USD"</f>
        <v>USD</v>
      </c>
      <c r="E3806" t="str">
        <f>"2017"</f>
        <v>2017</v>
      </c>
      <c r="F3806" t="str">
        <f>"Singh"</f>
        <v>Singh</v>
      </c>
      <c r="G3806" t="str">
        <f>"avanddanesh"</f>
        <v>avanddanesh</v>
      </c>
    </row>
    <row r="3807" spans="1:7" x14ac:dyDescent="0.25">
      <c r="A3807" t="str">
        <f>"UV-Visible Spectrophotometry of Water and Wastewater, 2nd Edition"</f>
        <v>UV-Visible Spectrophotometry of Water and Wastewater, 2nd Edition</v>
      </c>
      <c r="B3807" t="str">
        <f>"9780444638878"</f>
        <v>9780444638878</v>
      </c>
      <c r="C3807">
        <v>238.5</v>
      </c>
      <c r="D3807" t="str">
        <f>"USD"</f>
        <v>USD</v>
      </c>
      <c r="E3807" t="str">
        <f>"2017"</f>
        <v>2017</v>
      </c>
      <c r="F3807" t="str">
        <f>"Thomas and Burgess"</f>
        <v>Thomas and Burgess</v>
      </c>
      <c r="G3807" t="str">
        <f>"dehkadehketab"</f>
        <v>dehkadehketab</v>
      </c>
    </row>
    <row r="3808" spans="1:7" x14ac:dyDescent="0.25">
      <c r="A3808" t="str">
        <f>"VALUING ENVIRONMENT AND NATURAL RESOURCES"</f>
        <v>VALUING ENVIRONMENT AND NATURAL RESOURCES</v>
      </c>
      <c r="B3808" t="str">
        <f>"9780857930231"</f>
        <v>9780857930231</v>
      </c>
      <c r="C3808">
        <v>289.8</v>
      </c>
      <c r="D3808" t="str">
        <f>"GBP"</f>
        <v>GBP</v>
      </c>
      <c r="E3808" t="str">
        <f>"2012"</f>
        <v>2012</v>
      </c>
      <c r="F3808" t="str">
        <f>"WILLIS, K.G.   GARR"</f>
        <v>WILLIS, K.G.   GARR</v>
      </c>
      <c r="G3808" t="str">
        <f>"AsarBartar"</f>
        <v>AsarBartar</v>
      </c>
    </row>
    <row r="3809" spans="1:7" x14ac:dyDescent="0.25">
      <c r="A3809" t="str">
        <f>"Valuing Historic Environments, HB"</f>
        <v>Valuing Historic Environments, HB</v>
      </c>
      <c r="B3809" t="str">
        <f>"9780754674245"</f>
        <v>9780754674245</v>
      </c>
      <c r="C3809">
        <v>104.96</v>
      </c>
      <c r="D3809" t="str">
        <f t="shared" ref="D3809:D3815" si="205">"USD"</f>
        <v>USD</v>
      </c>
      <c r="E3809" t="str">
        <f>"2009"</f>
        <v>2009</v>
      </c>
      <c r="F3809" t="str">
        <f>"Gibson"</f>
        <v>Gibson</v>
      </c>
      <c r="G3809" t="str">
        <f>"supply"</f>
        <v>supply</v>
      </c>
    </row>
    <row r="3810" spans="1:7" x14ac:dyDescent="0.25">
      <c r="A3810" t="str">
        <f>"Venice Shall Rise Again, Engineered Uplift of Venice Through Seawater Injection"</f>
        <v>Venice Shall Rise Again, Engineered Uplift of Venice Through Seawater Injection</v>
      </c>
      <c r="B3810" t="str">
        <f>"9780128103241"</f>
        <v>9780128103241</v>
      </c>
      <c r="C3810">
        <v>85.45</v>
      </c>
      <c r="D3810" t="str">
        <f t="shared" si="205"/>
        <v>USD</v>
      </c>
      <c r="E3810" t="str">
        <f>"2017"</f>
        <v>2017</v>
      </c>
      <c r="F3810" t="str">
        <f>"Gambolati and Teatin"</f>
        <v>Gambolati and Teatin</v>
      </c>
      <c r="G3810" t="str">
        <f>"dehkadehketab"</f>
        <v>dehkadehketab</v>
      </c>
    </row>
    <row r="3811" spans="1:7" x14ac:dyDescent="0.25">
      <c r="A3811" t="str">
        <f>"Vertical Flow Constructed Wetlands, Eco-Engineerin"</f>
        <v>Vertical Flow Constructed Wetlands, Eco-Engineerin</v>
      </c>
      <c r="B3811" t="str">
        <f>"9780124046122"</f>
        <v>9780124046122</v>
      </c>
      <c r="C3811">
        <v>135</v>
      </c>
      <c r="D3811" t="str">
        <f t="shared" si="205"/>
        <v>USD</v>
      </c>
      <c r="E3811" t="str">
        <f>"2015"</f>
        <v>2015</v>
      </c>
      <c r="F3811" t="str">
        <f>"N/A*"</f>
        <v>N/A*</v>
      </c>
      <c r="G3811" t="str">
        <f>"dehkadehketab"</f>
        <v>dehkadehketab</v>
      </c>
    </row>
    <row r="3812" spans="1:7" x14ac:dyDescent="0.25">
      <c r="A3812" t="str">
        <f>"Vertical Flow Constructed Wetlands, Eco-engineering Systems for Wastewater and Sludge Treatment"</f>
        <v>Vertical Flow Constructed Wetlands, Eco-engineering Systems for Wastewater and Sludge Treatment</v>
      </c>
      <c r="B3812" t="str">
        <f>"9780124046122"</f>
        <v>9780124046122</v>
      </c>
      <c r="C3812">
        <v>134.94999999999999</v>
      </c>
      <c r="D3812" t="str">
        <f t="shared" si="205"/>
        <v>USD</v>
      </c>
      <c r="E3812" t="str">
        <f>"2015"</f>
        <v>2015</v>
      </c>
      <c r="F3812" t="str">
        <f>"Stefanakis et al"</f>
        <v>Stefanakis et al</v>
      </c>
      <c r="G3812" t="str">
        <f>"arang"</f>
        <v>arang</v>
      </c>
    </row>
    <row r="3813" spans="1:7" x14ac:dyDescent="0.25">
      <c r="A3813" t="str">
        <f>"Vulnerability of Land Systems in Asia"</f>
        <v>Vulnerability of Land Systems in Asia</v>
      </c>
      <c r="B3813" t="str">
        <f>"9781118854952"</f>
        <v>9781118854952</v>
      </c>
      <c r="C3813">
        <v>93.8</v>
      </c>
      <c r="D3813" t="str">
        <f t="shared" si="205"/>
        <v>USD</v>
      </c>
      <c r="E3813" t="str">
        <f>"2014"</f>
        <v>2014</v>
      </c>
      <c r="F3813" t="str">
        <f>"Braimoh"</f>
        <v>Braimoh</v>
      </c>
      <c r="G3813" t="str">
        <f>"avanddanesh"</f>
        <v>avanddanesh</v>
      </c>
    </row>
    <row r="3814" spans="1:7" x14ac:dyDescent="0.25">
      <c r="A3814" t="str">
        <f>"Warming Papers"</f>
        <v>Warming Papers</v>
      </c>
      <c r="B3814" t="str">
        <f>"9781405196161"</f>
        <v>9781405196161</v>
      </c>
      <c r="C3814">
        <v>24</v>
      </c>
      <c r="D3814" t="str">
        <f t="shared" si="205"/>
        <v>USD</v>
      </c>
      <c r="E3814" t="str">
        <f>"2010"</f>
        <v>2010</v>
      </c>
      <c r="F3814" t="str">
        <f>"Archer"</f>
        <v>Archer</v>
      </c>
      <c r="G3814" t="str">
        <f>"avanddanesh"</f>
        <v>avanddanesh</v>
      </c>
    </row>
    <row r="3815" spans="1:7" x14ac:dyDescent="0.25">
      <c r="A3815" t="str">
        <f>"Warming Papers"</f>
        <v>Warming Papers</v>
      </c>
      <c r="B3815" t="str">
        <f>"9781405196161"</f>
        <v>9781405196161</v>
      </c>
      <c r="C3815">
        <v>24</v>
      </c>
      <c r="D3815" t="str">
        <f t="shared" si="205"/>
        <v>USD</v>
      </c>
      <c r="E3815" t="str">
        <f>"2011"</f>
        <v>2011</v>
      </c>
      <c r="F3815" t="str">
        <f>"Archer"</f>
        <v>Archer</v>
      </c>
      <c r="G3815" t="str">
        <f>"safirketab"</f>
        <v>safirketab</v>
      </c>
    </row>
    <row r="3816" spans="1:7" x14ac:dyDescent="0.25">
      <c r="A3816" t="str">
        <f>"Waste Bioremediation"</f>
        <v>Waste Bioremediation</v>
      </c>
      <c r="B3816" t="str">
        <f>"9789811074127"</f>
        <v>9789811074127</v>
      </c>
      <c r="C3816">
        <v>134.99</v>
      </c>
      <c r="D3816" t="str">
        <f>"EUR"</f>
        <v>EUR</v>
      </c>
      <c r="E3816" t="str">
        <f>"2018"</f>
        <v>2018</v>
      </c>
      <c r="F3816" t="str">
        <f>"Varjani"</f>
        <v>Varjani</v>
      </c>
      <c r="G3816" t="str">
        <f>"negarestanabi"</f>
        <v>negarestanabi</v>
      </c>
    </row>
    <row r="3817" spans="1:7" x14ac:dyDescent="0.25">
      <c r="A3817" t="str">
        <f>"Waste Immobilization in Glass and Ceramic Based Hosts"</f>
        <v>Waste Immobilization in Glass and Ceramic Based Hosts</v>
      </c>
      <c r="B3817" t="str">
        <f>"9781444319378"</f>
        <v>9781444319378</v>
      </c>
      <c r="C3817">
        <v>135</v>
      </c>
      <c r="D3817" t="str">
        <f>"USD"</f>
        <v>USD</v>
      </c>
      <c r="E3817" t="str">
        <f>"2010"</f>
        <v>2010</v>
      </c>
      <c r="F3817" t="str">
        <f>"Donald"</f>
        <v>Donald</v>
      </c>
      <c r="G3817" t="str">
        <f>"safirketab"</f>
        <v>safirketab</v>
      </c>
    </row>
    <row r="3818" spans="1:7" x14ac:dyDescent="0.25">
      <c r="A3818" t="str">
        <f>"WASTE MANAGEMENT AND THE ENVIRONMENT V, HB"</f>
        <v>WASTE MANAGEMENT AND THE ENVIRONMENT V, HB</v>
      </c>
      <c r="B3818" t="str">
        <f>"9781845644604"</f>
        <v>9781845644604</v>
      </c>
      <c r="C3818">
        <v>131.6</v>
      </c>
      <c r="D3818" t="str">
        <f>"GBP"</f>
        <v>GBP</v>
      </c>
      <c r="E3818" t="str">
        <f>"2010"</f>
        <v>2010</v>
      </c>
      <c r="F3818" t="str">
        <f>"Popov"</f>
        <v>Popov</v>
      </c>
      <c r="G3818" t="str">
        <f>"supply"</f>
        <v>supply</v>
      </c>
    </row>
    <row r="3819" spans="1:7" x14ac:dyDescent="0.25">
      <c r="A3819" t="str">
        <f>"Waste Management and the Green Economy: Law and Policy"</f>
        <v>Waste Management and the Green Economy: Law and Policy</v>
      </c>
      <c r="B3819" t="str">
        <f>"9781783473809"</f>
        <v>9781783473809</v>
      </c>
      <c r="C3819">
        <v>68</v>
      </c>
      <c r="D3819" t="str">
        <f>"GBP"</f>
        <v>GBP</v>
      </c>
      <c r="E3819" t="str">
        <f>"2016"</f>
        <v>2016</v>
      </c>
      <c r="F3819" t="str">
        <f>"Katharina Kummer Pe"</f>
        <v>Katharina Kummer Pe</v>
      </c>
      <c r="G3819" t="str">
        <f>"AsarBartar"</f>
        <v>AsarBartar</v>
      </c>
    </row>
    <row r="3820" spans="1:7" x14ac:dyDescent="0.25">
      <c r="A3820" t="str">
        <f>"WASTE TREATMENT IN THE METAL MANUFACTURING, FORMING, COATING, AND FINISHING INDUSTRIES"</f>
        <v>WASTE TREATMENT IN THE METAL MANUFACTURING, FORMING, COATING, AND FINISHING INDUSTRIES</v>
      </c>
      <c r="B3820" t="str">
        <f>"9781420072235"</f>
        <v>9781420072235</v>
      </c>
      <c r="C3820">
        <v>20.99</v>
      </c>
      <c r="D3820" t="str">
        <f>"GBP"</f>
        <v>GBP</v>
      </c>
      <c r="E3820" t="str">
        <f>"2009"</f>
        <v>2009</v>
      </c>
      <c r="F3820" t="str">
        <f>"LAWRENCE K. WANG, N"</f>
        <v>LAWRENCE K. WANG, N</v>
      </c>
      <c r="G3820" t="str">
        <f>"AsarBartar"</f>
        <v>AsarBartar</v>
      </c>
    </row>
    <row r="3821" spans="1:7" x14ac:dyDescent="0.25">
      <c r="A3821" t="str">
        <f>"Wasteland Rehabilitations And Management, HB"</f>
        <v>Wasteland Rehabilitations And Management, HB</v>
      </c>
      <c r="B3821" t="str">
        <f>"9788183873802"</f>
        <v>9788183873802</v>
      </c>
      <c r="C3821">
        <v>40.81</v>
      </c>
      <c r="D3821" t="str">
        <f>"USD"</f>
        <v>USD</v>
      </c>
      <c r="E3821" t="str">
        <f>"2011"</f>
        <v>2011</v>
      </c>
      <c r="F3821" t="str">
        <f>"Anbalagan"</f>
        <v>Anbalagan</v>
      </c>
      <c r="G3821" t="str">
        <f>"supply"</f>
        <v>supply</v>
      </c>
    </row>
    <row r="3822" spans="1:7" x14ac:dyDescent="0.25">
      <c r="A3822" t="str">
        <f>"WASTELANDS AND PLANNING FOR DEVELOPMENT, HB"</f>
        <v>WASTELANDS AND PLANNING FOR DEVELOPMENT, HB</v>
      </c>
      <c r="B3822" t="str">
        <f>"9788180694660"</f>
        <v>9788180694660</v>
      </c>
      <c r="C3822">
        <v>28</v>
      </c>
      <c r="D3822" t="str">
        <f>"USD"</f>
        <v>USD</v>
      </c>
      <c r="E3822" t="str">
        <f>"2008"</f>
        <v>2008</v>
      </c>
      <c r="F3822" t="str">
        <f>"Kalwar "</f>
        <v xml:space="preserve">Kalwar </v>
      </c>
      <c r="G3822" t="str">
        <f>"supply"</f>
        <v>supply</v>
      </c>
    </row>
    <row r="3823" spans="1:7" x14ac:dyDescent="0.25">
      <c r="A3823" t="str">
        <f>"WASTES â€“ Solutions, Treatments and Opportunities II: Selected Papers from the 4th Edition of the International Conference on Wastes: Solutions, ... Porto, Portugal, 25-26 September 2017"</f>
        <v>WASTES â€“ Solutions, Treatments and Opportunities II: Selected Papers from the 4th Edition of the International Conference on Wastes: Solutions, ... Porto, Portugal, 25-26 September 2017</v>
      </c>
      <c r="B3823" t="str">
        <f>"9781138196698"</f>
        <v>9781138196698</v>
      </c>
      <c r="C3823">
        <v>117</v>
      </c>
      <c r="D3823" t="str">
        <f>"GBP"</f>
        <v>GBP</v>
      </c>
      <c r="E3823" t="str">
        <f>"2017"</f>
        <v>2017</v>
      </c>
      <c r="F3823" t="str">
        <f>"Vilarinho"</f>
        <v>Vilarinho</v>
      </c>
      <c r="G3823" t="str">
        <f>"sal"</f>
        <v>sal</v>
      </c>
    </row>
    <row r="3824" spans="1:7" x14ac:dyDescent="0.25">
      <c r="A3824" t="str">
        <f>"Wastewater Bundle"</f>
        <v>Wastewater Bundle</v>
      </c>
      <c r="B3824" t="str">
        <f>"9780470472835"</f>
        <v>9780470472835</v>
      </c>
      <c r="C3824">
        <v>438.75</v>
      </c>
      <c r="D3824" t="str">
        <f>"USD"</f>
        <v>USD</v>
      </c>
      <c r="E3824" t="str">
        <f>"2009"</f>
        <v>2009</v>
      </c>
      <c r="F3824" t="str">
        <f>"Wiley"</f>
        <v>Wiley</v>
      </c>
      <c r="G3824" t="str">
        <f>"safirketab"</f>
        <v>safirketab</v>
      </c>
    </row>
    <row r="3825" spans="1:7" x14ac:dyDescent="0.25">
      <c r="A3825" t="str">
        <f>"Wastewater Treatment: Concepts and Design Approach, 2/e"</f>
        <v>Wastewater Treatment: Concepts and Design Approach, 2/e</v>
      </c>
      <c r="B3825" t="str">
        <f>"9788120347359"</f>
        <v>9788120347359</v>
      </c>
      <c r="C3825">
        <v>11.05</v>
      </c>
      <c r="D3825" t="str">
        <f>"USD"</f>
        <v>USD</v>
      </c>
      <c r="E3825" t="str">
        <f>"2016"</f>
        <v>2016</v>
      </c>
      <c r="F3825" t="str">
        <f>"Karia"</f>
        <v>Karia</v>
      </c>
      <c r="G3825" t="str">
        <f>"jahanadib"</f>
        <v>jahanadib</v>
      </c>
    </row>
    <row r="3826" spans="1:7" x14ac:dyDescent="0.25">
      <c r="A3826" t="str">
        <f>"Wastewater: Economic Asset in an Urbanizing World"</f>
        <v>Wastewater: Economic Asset in an Urbanizing World</v>
      </c>
      <c r="B3826" t="str">
        <f>"9789401795449"</f>
        <v>9789401795449</v>
      </c>
      <c r="C3826">
        <v>116.99</v>
      </c>
      <c r="D3826" t="str">
        <f>"EUR"</f>
        <v>EUR</v>
      </c>
      <c r="E3826" t="str">
        <f>"2015"</f>
        <v>2015</v>
      </c>
      <c r="F3826" t="str">
        <f>"Drechsel"</f>
        <v>Drechsel</v>
      </c>
      <c r="G3826" t="str">
        <f>"negarestanabi"</f>
        <v>negarestanabi</v>
      </c>
    </row>
    <row r="3827" spans="1:7" x14ac:dyDescent="0.25">
      <c r="A3827" t="str">
        <f>"Water : A Manual for Engineers, Architects, Planners and Managers, HB"</f>
        <v>Water : A Manual for Engineers, Architects, Planners and Managers, HB</v>
      </c>
      <c r="B3827" t="str">
        <f>"9788170353737"</f>
        <v>9788170353737</v>
      </c>
      <c r="C3827">
        <v>54.67</v>
      </c>
      <c r="D3827" t="str">
        <f>"USD"</f>
        <v>USD</v>
      </c>
      <c r="E3827" t="str">
        <f>"2007"</f>
        <v>2007</v>
      </c>
      <c r="F3827" t="str">
        <f>"Jain"</f>
        <v>Jain</v>
      </c>
      <c r="G3827" t="str">
        <f>"supply"</f>
        <v>supply</v>
      </c>
    </row>
    <row r="3828" spans="1:7" x14ac:dyDescent="0.25">
      <c r="A3828" t="str">
        <f>"Water and Land Security in Drylands: Response to Climate Change"</f>
        <v>Water and Land Security in Drylands: Response to Climate Change</v>
      </c>
      <c r="B3828" t="str">
        <f>"9783319540207"</f>
        <v>9783319540207</v>
      </c>
      <c r="C3828">
        <v>134.56</v>
      </c>
      <c r="D3828" t="str">
        <f>"EUR"</f>
        <v>EUR</v>
      </c>
      <c r="E3828" t="str">
        <f>"2017"</f>
        <v>2017</v>
      </c>
      <c r="F3828" t="str">
        <f>"Ouessar"</f>
        <v>Ouessar</v>
      </c>
      <c r="G3828" t="str">
        <f>"negarestanabi"</f>
        <v>negarestanabi</v>
      </c>
    </row>
    <row r="3829" spans="1:7" x14ac:dyDescent="0.25">
      <c r="A3829" t="str">
        <f>"WATER AND LIFE: THE UNIQUE PROPERTIES OF H20"</f>
        <v>WATER AND LIFE: THE UNIQUE PROPERTIES OF H20</v>
      </c>
      <c r="B3829" t="str">
        <f>"9781439803561"</f>
        <v>9781439803561</v>
      </c>
      <c r="C3829">
        <v>17.989999999999998</v>
      </c>
      <c r="D3829" t="str">
        <f>"GBP"</f>
        <v>GBP</v>
      </c>
      <c r="E3829" t="str">
        <f>"2010"</f>
        <v>2010</v>
      </c>
      <c r="F3829" t="str">
        <f>"CHARLES HARPER(EDIT"</f>
        <v>CHARLES HARPER(EDIT</v>
      </c>
      <c r="G3829" t="str">
        <f>"AsarBartar"</f>
        <v>AsarBartar</v>
      </c>
    </row>
    <row r="3830" spans="1:7" x14ac:dyDescent="0.25">
      <c r="A3830" t="str">
        <f>"WATER AND SANITATION SERVICES PUBLIC POLICY AND MANAGEM"</f>
        <v>WATER AND SANITATION SERVICES PUBLIC POLICY AND MANAGEM</v>
      </c>
      <c r="B3830" t="str">
        <f>"9781844076567"</f>
        <v>9781844076567</v>
      </c>
      <c r="C3830">
        <v>19.5</v>
      </c>
      <c r="D3830" t="str">
        <f>"GBP"</f>
        <v>GBP</v>
      </c>
      <c r="E3830" t="str">
        <f>"2009"</f>
        <v>2009</v>
      </c>
      <c r="F3830" t="str">
        <f>"JOSE ESTEBAN CASTRO"</f>
        <v>JOSE ESTEBAN CASTRO</v>
      </c>
      <c r="G3830" t="str">
        <f>"AsarBartar"</f>
        <v>AsarBartar</v>
      </c>
    </row>
    <row r="3831" spans="1:7" x14ac:dyDescent="0.25">
      <c r="A3831" t="str">
        <f>"Water and Scriptures: Ancient Roots for Sustainable Development"</f>
        <v>Water and Scriptures: Ancient Roots for Sustainable Development</v>
      </c>
      <c r="B3831" t="str">
        <f>"9783319505619"</f>
        <v>9783319505619</v>
      </c>
      <c r="C3831">
        <v>103.49</v>
      </c>
      <c r="D3831" t="str">
        <f>"EUR"</f>
        <v>EUR</v>
      </c>
      <c r="E3831" t="str">
        <f>"2017"</f>
        <v>2017</v>
      </c>
      <c r="F3831" t="str">
        <f>"Raju"</f>
        <v>Raju</v>
      </c>
      <c r="G3831" t="str">
        <f>"negarestanabi"</f>
        <v>negarestanabi</v>
      </c>
    </row>
    <row r="3832" spans="1:7" x14ac:dyDescent="0.25">
      <c r="A3832" t="str">
        <f>"WATER AS A HUMAN RIGHT FOR THE MIDDLE EAST AND NORTH AF"</f>
        <v>WATER AS A HUMAN RIGHT FOR THE MIDDLE EAST AND NORTH AF</v>
      </c>
      <c r="B3832" t="str">
        <f>"9780415445849"</f>
        <v>9780415445849</v>
      </c>
      <c r="C3832">
        <v>22.5</v>
      </c>
      <c r="D3832" t="str">
        <f>"GBP"</f>
        <v>GBP</v>
      </c>
      <c r="E3832" t="str">
        <f>"2008"</f>
        <v>2008</v>
      </c>
      <c r="F3832" t="str">
        <f>"ASIT K BISWAS AND C"</f>
        <v>ASIT K BISWAS AND C</v>
      </c>
      <c r="G3832" t="str">
        <f>"AsarBartar"</f>
        <v>AsarBartar</v>
      </c>
    </row>
    <row r="3833" spans="1:7" x14ac:dyDescent="0.25">
      <c r="A3833" t="str">
        <f>"Water Bankruptcy in the Land of Plenty (UNESCO-IHE Lecture Note Series)"</f>
        <v>Water Bankruptcy in the Land of Plenty (UNESCO-IHE Lecture Note Series)</v>
      </c>
      <c r="B3833" t="str">
        <f>"9781138029699"</f>
        <v>9781138029699</v>
      </c>
      <c r="C3833">
        <v>69.7</v>
      </c>
      <c r="D3833" t="str">
        <f>"GBP"</f>
        <v>GBP</v>
      </c>
      <c r="E3833" t="str">
        <f>"2016"</f>
        <v>2016</v>
      </c>
      <c r="F3833" t="str">
        <f>"Franck Poupeau(Edit"</f>
        <v>Franck Poupeau(Edit</v>
      </c>
      <c r="G3833" t="str">
        <f>"AsarBartar"</f>
        <v>AsarBartar</v>
      </c>
    </row>
    <row r="3834" spans="1:7" x14ac:dyDescent="0.25">
      <c r="A3834" t="str">
        <f>"Water Conservation And Utilization In Agriculture Production, HB"</f>
        <v>Water Conservation And Utilization In Agriculture Production, HB</v>
      </c>
      <c r="B3834" t="str">
        <f>"9788189304782"</f>
        <v>9788189304782</v>
      </c>
      <c r="C3834">
        <v>47.67</v>
      </c>
      <c r="D3834" t="str">
        <f>"USD"</f>
        <v>USD</v>
      </c>
      <c r="E3834" t="str">
        <f>"2010"</f>
        <v>2010</v>
      </c>
      <c r="F3834" t="str">
        <f>"Saini"</f>
        <v>Saini</v>
      </c>
      <c r="G3834" t="str">
        <f>"supply"</f>
        <v>supply</v>
      </c>
    </row>
    <row r="3835" spans="1:7" x14ac:dyDescent="0.25">
      <c r="A3835" t="str">
        <f>"Water Ecosystem Services: A Global Perspective"</f>
        <v>Water Ecosystem Services: A Global Perspective</v>
      </c>
      <c r="B3835" t="str">
        <f>"9781107100374"</f>
        <v>9781107100374</v>
      </c>
      <c r="C3835">
        <v>54</v>
      </c>
      <c r="D3835" t="str">
        <f>"GBP"</f>
        <v>GBP</v>
      </c>
      <c r="E3835" t="str">
        <f>"2015"</f>
        <v>2015</v>
      </c>
      <c r="F3835" t="str">
        <f>"Julia Martin-Ortega "</f>
        <v xml:space="preserve">Julia Martin-Ortega </v>
      </c>
      <c r="G3835" t="str">
        <f>"arzinbooks"</f>
        <v>arzinbooks</v>
      </c>
    </row>
    <row r="3836" spans="1:7" x14ac:dyDescent="0.25">
      <c r="A3836" t="str">
        <f>"Water Efficiency in Buildings: Theory and Practice"</f>
        <v>Water Efficiency in Buildings: Theory and Practice</v>
      </c>
      <c r="B3836" t="str">
        <f>"9781118456576"</f>
        <v>9781118456576</v>
      </c>
      <c r="C3836">
        <v>78.8</v>
      </c>
      <c r="D3836" t="str">
        <f>"USD"</f>
        <v>USD</v>
      </c>
      <c r="E3836" t="str">
        <f>"2014"</f>
        <v>2014</v>
      </c>
      <c r="F3836" t="str">
        <f>"Adeyeye"</f>
        <v>Adeyeye</v>
      </c>
      <c r="G3836" t="str">
        <f>"avanddanesh"</f>
        <v>avanddanesh</v>
      </c>
    </row>
    <row r="3837" spans="1:7" x14ac:dyDescent="0.25">
      <c r="A3837" t="str">
        <f>"Water Engineering: Hydraulics, Distribution and Treatment"</f>
        <v>Water Engineering: Hydraulics, Distribution and Treatment</v>
      </c>
      <c r="B3837" t="str">
        <f>"9780470390986"</f>
        <v>9780470390986</v>
      </c>
      <c r="C3837">
        <v>120</v>
      </c>
      <c r="D3837" t="str">
        <f>"USD"</f>
        <v>USD</v>
      </c>
      <c r="E3837" t="str">
        <f>"2015"</f>
        <v>2015</v>
      </c>
      <c r="F3837" t="str">
        <f>"Shammas"</f>
        <v>Shammas</v>
      </c>
      <c r="G3837" t="str">
        <f>"avanddanesh"</f>
        <v>avanddanesh</v>
      </c>
    </row>
    <row r="3838" spans="1:7" x14ac:dyDescent="0.25">
      <c r="A3838" t="str">
        <f>"Water for the Environment"</f>
        <v>Water for the Environment</v>
      </c>
      <c r="B3838" t="str">
        <f>"9780128039076"</f>
        <v>9780128039076</v>
      </c>
      <c r="C3838">
        <v>157.5</v>
      </c>
      <c r="D3838" t="str">
        <f>"USD"</f>
        <v>USD</v>
      </c>
      <c r="E3838" t="str">
        <f>"2017"</f>
        <v>2017</v>
      </c>
      <c r="F3838" t="str">
        <f>"Horne, Avril"</f>
        <v>Horne, Avril</v>
      </c>
      <c r="G3838" t="str">
        <f>"dehkadehketab"</f>
        <v>dehkadehketab</v>
      </c>
    </row>
    <row r="3839" spans="1:7" x14ac:dyDescent="0.25">
      <c r="A3839" t="str">
        <f>"Water for the Environment, From Policy and Science to Implementation and Management"</f>
        <v>Water for the Environment, From Policy and Science to Implementation and Management</v>
      </c>
      <c r="B3839" t="str">
        <f>"9780128039076"</f>
        <v>9780128039076</v>
      </c>
      <c r="C3839">
        <v>157.5</v>
      </c>
      <c r="D3839" t="str">
        <f>"USD"</f>
        <v>USD</v>
      </c>
      <c r="E3839" t="str">
        <f>"2017"</f>
        <v>2017</v>
      </c>
      <c r="F3839" t="str">
        <f>"Horne et al"</f>
        <v>Horne et al</v>
      </c>
      <c r="G3839" t="str">
        <f>"arang"</f>
        <v>arang</v>
      </c>
    </row>
    <row r="3840" spans="1:7" x14ac:dyDescent="0.25">
      <c r="A3840" t="str">
        <f>"WATER IN CENTRAL ASIA:PAST PRESENT AND FUTURE"</f>
        <v>WATER IN CENTRAL ASIA:PAST PRESENT AND FUTURE</v>
      </c>
      <c r="B3840" t="str">
        <f>"9780415459624"</f>
        <v>9780415459624</v>
      </c>
      <c r="C3840">
        <v>34.200000000000003</v>
      </c>
      <c r="D3840" t="str">
        <f>"GBP"</f>
        <v>GBP</v>
      </c>
      <c r="E3840" t="str">
        <f>"2011"</f>
        <v>2011</v>
      </c>
      <c r="F3840" t="str">
        <f>"JOOP DE SCHUTTER"</f>
        <v>JOOP DE SCHUTTER</v>
      </c>
      <c r="G3840" t="str">
        <f>"AsarBartar"</f>
        <v>AsarBartar</v>
      </c>
    </row>
    <row r="3841" spans="1:7" x14ac:dyDescent="0.25">
      <c r="A3841" t="str">
        <f>"WATER MANAGEMENT, HB"</f>
        <v>WATER MANAGEMENT, HB</v>
      </c>
      <c r="B3841" t="str">
        <f>"9781926692081"</f>
        <v>9781926692081</v>
      </c>
      <c r="C3841">
        <v>91</v>
      </c>
      <c r="D3841" t="str">
        <f>"USD"</f>
        <v>USD</v>
      </c>
      <c r="E3841" t="str">
        <f>"2010"</f>
        <v>2010</v>
      </c>
      <c r="F3841" t="str">
        <f>"Covington"</f>
        <v>Covington</v>
      </c>
      <c r="G3841" t="str">
        <f>"supply"</f>
        <v>supply</v>
      </c>
    </row>
    <row r="3842" spans="1:7" x14ac:dyDescent="0.25">
      <c r="A3842" t="str">
        <f>"Water Policy and Planning in a Variable and Changing Climate (Drought and Water Crises)"</f>
        <v>Water Policy and Planning in a Variable and Changing Climate (Drought and Water Crises)</v>
      </c>
      <c r="B3842" t="str">
        <f>"9781482227970"</f>
        <v>9781482227970</v>
      </c>
      <c r="C3842">
        <v>102.85</v>
      </c>
      <c r="D3842" t="str">
        <f t="shared" ref="D3842:D3847" si="206">"GBP"</f>
        <v>GBP</v>
      </c>
      <c r="E3842" t="str">
        <f>"2016"</f>
        <v>2016</v>
      </c>
      <c r="F3842" t="str">
        <f>"Kathleen A. Miller("</f>
        <v>Kathleen A. Miller(</v>
      </c>
      <c r="G3842" t="str">
        <f>"AsarBartar"</f>
        <v>AsarBartar</v>
      </c>
    </row>
    <row r="3843" spans="1:7" x14ac:dyDescent="0.25">
      <c r="A3843" t="str">
        <f>"WATER POLICY ENTREPRENEURS"</f>
        <v>WATER POLICY ENTREPRENEURS</v>
      </c>
      <c r="B3843" t="str">
        <f>"9781848443310"</f>
        <v>9781848443310</v>
      </c>
      <c r="C3843">
        <v>45</v>
      </c>
      <c r="D3843" t="str">
        <f t="shared" si="206"/>
        <v>GBP</v>
      </c>
      <c r="E3843" t="str">
        <f>"2009"</f>
        <v>2009</v>
      </c>
      <c r="F3843" t="str">
        <f>"HUITEMA, D.   MEIJE"</f>
        <v>HUITEMA, D.   MEIJE</v>
      </c>
      <c r="G3843" t="str">
        <f>"AsarBartar"</f>
        <v>AsarBartar</v>
      </c>
    </row>
    <row r="3844" spans="1:7" x14ac:dyDescent="0.25">
      <c r="A3844" t="str">
        <f>"WATER POLICY ENTREPRENEURS : A RESEARCH COMPANION TO WA"</f>
        <v>WATER POLICY ENTREPRENEURS : A RESEARCH COMPANION TO WA</v>
      </c>
      <c r="B3844" t="str">
        <f>"9781843393153"</f>
        <v>9781843393153</v>
      </c>
      <c r="C3844">
        <v>42.6</v>
      </c>
      <c r="D3844" t="str">
        <f t="shared" si="206"/>
        <v>GBP</v>
      </c>
      <c r="E3844" t="str">
        <f>"2009"</f>
        <v>2009</v>
      </c>
      <c r="F3844" t="str">
        <f>"DAVE HUITEMA AND SA"</f>
        <v>DAVE HUITEMA AND SA</v>
      </c>
      <c r="G3844" t="str">
        <f>"AsarBartar"</f>
        <v>AsarBartar</v>
      </c>
    </row>
    <row r="3845" spans="1:7" x14ac:dyDescent="0.25">
      <c r="A3845" t="str">
        <f>"WATER POLICY IN SPAIN"</f>
        <v>WATER POLICY IN SPAIN</v>
      </c>
      <c r="B3845" t="str">
        <f>"9780415554114"</f>
        <v>9780415554114</v>
      </c>
      <c r="C3845">
        <v>20.09</v>
      </c>
      <c r="D3845" t="str">
        <f t="shared" si="206"/>
        <v>GBP</v>
      </c>
      <c r="E3845" t="str">
        <f>"2010"</f>
        <v>2010</v>
      </c>
      <c r="F3845" t="str">
        <f>"ALBERTO GARRIDO"</f>
        <v>ALBERTO GARRIDO</v>
      </c>
      <c r="G3845" t="str">
        <f>"AsarBartar"</f>
        <v>AsarBartar</v>
      </c>
    </row>
    <row r="3846" spans="1:7" x14ac:dyDescent="0.25">
      <c r="A3846" t="str">
        <f>"WATER POLICY IN TEXAS"</f>
        <v>WATER POLICY IN TEXAS</v>
      </c>
      <c r="B3846" t="str">
        <f>"9781933115894"</f>
        <v>9781933115894</v>
      </c>
      <c r="C3846">
        <v>19.5</v>
      </c>
      <c r="D3846" t="str">
        <f t="shared" si="206"/>
        <v>GBP</v>
      </c>
      <c r="E3846" t="str">
        <f>"2011"</f>
        <v>2011</v>
      </c>
      <c r="F3846" t="str">
        <f>"Griffin, Ronald C"</f>
        <v>Griffin, Ronald C</v>
      </c>
      <c r="G3846" t="str">
        <f>"AsarBartar"</f>
        <v>AsarBartar</v>
      </c>
    </row>
    <row r="3847" spans="1:7" x14ac:dyDescent="0.25">
      <c r="A3847" t="str">
        <f>"WATER POLLUTION X, HB"</f>
        <v>WATER POLLUTION X, HB</v>
      </c>
      <c r="B3847" t="str">
        <f>"9781845644482"</f>
        <v>9781845644482</v>
      </c>
      <c r="C3847">
        <v>102.2</v>
      </c>
      <c r="D3847" t="str">
        <f t="shared" si="206"/>
        <v>GBP</v>
      </c>
      <c r="E3847" t="str">
        <f>"2010"</f>
        <v>2010</v>
      </c>
      <c r="F3847" t="str">
        <f>"Brebbia"</f>
        <v>Brebbia</v>
      </c>
      <c r="G3847" t="str">
        <f>"supply"</f>
        <v>supply</v>
      </c>
    </row>
    <row r="3848" spans="1:7" x14ac:dyDescent="0.25">
      <c r="A3848" t="str">
        <f>"Water Purification"</f>
        <v>Water Purification</v>
      </c>
      <c r="B3848" t="str">
        <f>"9780128042991"</f>
        <v>9780128042991</v>
      </c>
      <c r="C3848">
        <v>180</v>
      </c>
      <c r="D3848" t="str">
        <f>"USD"</f>
        <v>USD</v>
      </c>
      <c r="E3848" t="str">
        <f>"2017"</f>
        <v>2017</v>
      </c>
      <c r="F3848" t="str">
        <f>"Grumezescu, Alexandr"</f>
        <v>Grumezescu, Alexandr</v>
      </c>
      <c r="G3848" t="str">
        <f>"dehkadehketab"</f>
        <v>dehkadehketab</v>
      </c>
    </row>
    <row r="3849" spans="1:7" x14ac:dyDescent="0.25">
      <c r="A3849" t="str">
        <f>"WATER QUALITY AND WATER RESOURCES, HB"</f>
        <v>WATER QUALITY AND WATER RESOURCES, HB</v>
      </c>
      <c r="B3849" t="str">
        <f>"9789350300091"</f>
        <v>9789350300091</v>
      </c>
      <c r="C3849">
        <v>37.1</v>
      </c>
      <c r="D3849" t="str">
        <f>"USD"</f>
        <v>USD</v>
      </c>
      <c r="E3849" t="str">
        <f>"2011"</f>
        <v>2011</v>
      </c>
      <c r="F3849" t="str">
        <f>"Rastogi"</f>
        <v>Rastogi</v>
      </c>
      <c r="G3849" t="str">
        <f>"supply"</f>
        <v>supply</v>
      </c>
    </row>
    <row r="3850" spans="1:7" x14ac:dyDescent="0.25">
      <c r="A3850" t="str">
        <f>"Water Remediation"</f>
        <v>Water Remediation</v>
      </c>
      <c r="B3850" t="str">
        <f>"9789811075506"</f>
        <v>9789811075506</v>
      </c>
      <c r="C3850">
        <v>134.99</v>
      </c>
      <c r="D3850" t="str">
        <f>"EUR"</f>
        <v>EUR</v>
      </c>
      <c r="E3850" t="str">
        <f>"2018"</f>
        <v>2018</v>
      </c>
      <c r="F3850" t="str">
        <f>"Bhattacharya"</f>
        <v>Bhattacharya</v>
      </c>
      <c r="G3850" t="str">
        <f>"negarestanabi"</f>
        <v>negarestanabi</v>
      </c>
    </row>
    <row r="3851" spans="1:7" x14ac:dyDescent="0.25">
      <c r="A3851" t="str">
        <f>"Water Resource Management, HB"</f>
        <v>Water Resource Management, HB</v>
      </c>
      <c r="B3851" t="str">
        <f>"9788182743694"</f>
        <v>9788182743694</v>
      </c>
      <c r="C3851">
        <v>30.24</v>
      </c>
      <c r="D3851" t="str">
        <f>"USD"</f>
        <v>USD</v>
      </c>
      <c r="E3851" t="str">
        <f>"2009"</f>
        <v>2009</v>
      </c>
      <c r="F3851" t="str">
        <f>"Verma"</f>
        <v>Verma</v>
      </c>
      <c r="G3851" t="str">
        <f>"supply"</f>
        <v>supply</v>
      </c>
    </row>
    <row r="3852" spans="1:7" x14ac:dyDescent="0.25">
      <c r="A3852" t="str">
        <f>"WATER RESOURCES MANAGEMENT IN THE PEOPLE'S REPUBLIC OF CHINA"</f>
        <v>WATER RESOURCES MANAGEMENT IN THE PEOPLE'S REPUBLIC OF CHINA</v>
      </c>
      <c r="B3852" t="str">
        <f>"9780415543576"</f>
        <v>9780415543576</v>
      </c>
      <c r="C3852">
        <v>24</v>
      </c>
      <c r="D3852" t="str">
        <f>"GBP"</f>
        <v>GBP</v>
      </c>
      <c r="E3852" t="str">
        <f>"2010"</f>
        <v>2010</v>
      </c>
      <c r="F3852" t="str">
        <f>"XUETAO SUN, ROBERT"</f>
        <v>XUETAO SUN, ROBERT</v>
      </c>
      <c r="G3852" t="str">
        <f>"AsarBartar"</f>
        <v>AsarBartar</v>
      </c>
    </row>
    <row r="3853" spans="1:7" x14ac:dyDescent="0.25">
      <c r="A3853" t="str">
        <f>"Water Resources Management V, HB"</f>
        <v>Water Resources Management V, HB</v>
      </c>
      <c r="B3853" t="str">
        <f>"9781845641993"</f>
        <v>9781845641993</v>
      </c>
      <c r="C3853">
        <v>191.1</v>
      </c>
      <c r="D3853" t="str">
        <f>"GBP"</f>
        <v>GBP</v>
      </c>
      <c r="E3853" t="str">
        <f>"2009"</f>
        <v>2009</v>
      </c>
      <c r="F3853" t="str">
        <f>"Brebbia"</f>
        <v>Brebbia</v>
      </c>
      <c r="G3853" t="str">
        <f>"supply"</f>
        <v>supply</v>
      </c>
    </row>
    <row r="3854" spans="1:7" x14ac:dyDescent="0.25">
      <c r="A3854" t="str">
        <f>"Water Resources: A New Water Architecture"</f>
        <v>Water Resources: A New Water Architecture</v>
      </c>
      <c r="B3854" t="str">
        <f>"9781118793909"</f>
        <v>9781118793909</v>
      </c>
      <c r="C3854">
        <v>117</v>
      </c>
      <c r="D3854" t="str">
        <f>"USD"</f>
        <v>USD</v>
      </c>
      <c r="E3854" t="str">
        <f>"2017"</f>
        <v>2017</v>
      </c>
      <c r="F3854" t="str">
        <f>"Lane"</f>
        <v>Lane</v>
      </c>
      <c r="G3854" t="str">
        <f>"avanddanesh"</f>
        <v>avanddanesh</v>
      </c>
    </row>
    <row r="3855" spans="1:7" x14ac:dyDescent="0.25">
      <c r="A3855" t="str">
        <f>"Water Science and Technology, Fourth Edition: An Introduction"</f>
        <v>Water Science and Technology, Fourth Edition: An Introduction</v>
      </c>
      <c r="B3855" t="str">
        <f>"9781498753456"</f>
        <v>9781498753456</v>
      </c>
      <c r="C3855">
        <v>44.99</v>
      </c>
      <c r="D3855" t="str">
        <f>"GBP"</f>
        <v>GBP</v>
      </c>
      <c r="E3855" t="str">
        <f>"2017"</f>
        <v>2017</v>
      </c>
      <c r="F3855" t="str">
        <f>"GRAY"</f>
        <v>GRAY</v>
      </c>
      <c r="G3855" t="str">
        <f>"sal"</f>
        <v>sal</v>
      </c>
    </row>
    <row r="3856" spans="1:7" x14ac:dyDescent="0.25">
      <c r="A3856" t="str">
        <f>"Water Softening with Potassium Chloride:Process, Health, and Environmental Benefits"</f>
        <v>Water Softening with Potassium Chloride:Process, Health, and Environmental Benefits</v>
      </c>
      <c r="B3856" t="str">
        <f>"9780470087138"</f>
        <v>9780470087138</v>
      </c>
      <c r="C3856">
        <v>80.010000000000005</v>
      </c>
      <c r="D3856" t="str">
        <f>"USD"</f>
        <v>USD</v>
      </c>
      <c r="E3856" t="str">
        <f>"2009"</f>
        <v>2009</v>
      </c>
      <c r="F3856" t="str">
        <f>"McEachern"</f>
        <v>McEachern</v>
      </c>
      <c r="G3856" t="str">
        <f>"safirketab"</f>
        <v>safirketab</v>
      </c>
    </row>
    <row r="3857" spans="1:7" x14ac:dyDescent="0.25">
      <c r="A3857" t="str">
        <f>"WATER UTILITY BENCHMARKING : MEASUREMENT, METHODOLOGIES"</f>
        <v>WATER UTILITY BENCHMARKING : MEASUREMENT, METHODOLOGIES</v>
      </c>
      <c r="B3857" t="str">
        <f>"9781843392729"</f>
        <v>9781843392729</v>
      </c>
      <c r="C3857">
        <v>22.8</v>
      </c>
      <c r="D3857" t="str">
        <f>"GBP"</f>
        <v>GBP</v>
      </c>
      <c r="E3857" t="str">
        <f>"2010"</f>
        <v>2010</v>
      </c>
      <c r="F3857" t="str">
        <f>"SANFORD BERG"</f>
        <v>SANFORD BERG</v>
      </c>
      <c r="G3857" t="str">
        <f>"AsarBartar"</f>
        <v>AsarBartar</v>
      </c>
    </row>
    <row r="3858" spans="1:7" x14ac:dyDescent="0.25">
      <c r="A3858" t="str">
        <f>"Water Wells and Boreholes,2e"</f>
        <v>Water Wells and Boreholes,2e</v>
      </c>
      <c r="B3858" t="str">
        <f>"9781118951705"</f>
        <v>9781118951705</v>
      </c>
      <c r="C3858">
        <v>76.5</v>
      </c>
      <c r="D3858" t="str">
        <f>"USD"</f>
        <v>USD</v>
      </c>
      <c r="E3858" t="str">
        <f>"2017"</f>
        <v>2017</v>
      </c>
      <c r="F3858" t="str">
        <f>"Misstear"</f>
        <v>Misstear</v>
      </c>
      <c r="G3858" t="str">
        <f>"avanddanesh"</f>
        <v>avanddanesh</v>
      </c>
    </row>
    <row r="3859" spans="1:7" x14ac:dyDescent="0.25">
      <c r="A3859" t="str">
        <f>"Water-Energy-Food Nexus: Principles and Practices"</f>
        <v>Water-Energy-Food Nexus: Principles and Practices</v>
      </c>
      <c r="B3859" t="str">
        <f>"9781119243137"</f>
        <v>9781119243137</v>
      </c>
      <c r="C3859">
        <v>153</v>
      </c>
      <c r="D3859" t="str">
        <f>"USD"</f>
        <v>USD</v>
      </c>
      <c r="E3859" t="str">
        <f>"2017"</f>
        <v>2017</v>
      </c>
      <c r="F3859" t="str">
        <f>"Salam"</f>
        <v>Salam</v>
      </c>
      <c r="G3859" t="str">
        <f>"avanddanesh"</f>
        <v>avanddanesh</v>
      </c>
    </row>
    <row r="3860" spans="1:7" x14ac:dyDescent="0.25">
      <c r="A3860" t="str">
        <f>"WATERSHED MANAGEMENT : Concepts And Experiences, HB"</f>
        <v>WATERSHED MANAGEMENT : Concepts And Experiences, HB</v>
      </c>
      <c r="B3860" t="str">
        <f>"9788131427446"</f>
        <v>9788131427446</v>
      </c>
      <c r="C3860">
        <v>23.24</v>
      </c>
      <c r="D3860" t="str">
        <f>"USD"</f>
        <v>USD</v>
      </c>
      <c r="E3860" t="str">
        <f>"2012"</f>
        <v>2012</v>
      </c>
      <c r="F3860" t="str">
        <f>"Menon"</f>
        <v>Menon</v>
      </c>
      <c r="G3860" t="str">
        <f>"supply"</f>
        <v>supply</v>
      </c>
    </row>
    <row r="3861" spans="1:7" x14ac:dyDescent="0.25">
      <c r="A3861" t="str">
        <f>"Weather Almanac:A Reference Guide to Weather"</f>
        <v>Weather Almanac:A Reference Guide to Weather</v>
      </c>
      <c r="B3861" t="str">
        <f>"9780787675158"</f>
        <v>9780787675158</v>
      </c>
      <c r="C3861">
        <v>141</v>
      </c>
      <c r="D3861" t="str">
        <f>"USD"</f>
        <v>USD</v>
      </c>
      <c r="E3861" t="str">
        <f>"2007"</f>
        <v>2007</v>
      </c>
      <c r="F3861" t="str">
        <f>"Wood"</f>
        <v>Wood</v>
      </c>
      <c r="G3861" t="str">
        <f>"safirketab"</f>
        <v>safirketab</v>
      </c>
    </row>
    <row r="3862" spans="1:7" x14ac:dyDescent="0.25">
      <c r="A3862" t="str">
        <f>"Weather Analysis and Forecasting, Applying Satellite Water Vapor Imagery and Potential Vorticity Analysis, 2nd Edition"</f>
        <v>Weather Analysis and Forecasting, Applying Satellite Water Vapor Imagery and Potential Vorticity Analysis, 2nd Edition</v>
      </c>
      <c r="B3862" t="str">
        <f>"9780128001943"</f>
        <v>9780128001943</v>
      </c>
      <c r="C3862">
        <v>80.95</v>
      </c>
      <c r="D3862" t="str">
        <f>"USD"</f>
        <v>USD</v>
      </c>
      <c r="E3862" t="str">
        <f>"2016"</f>
        <v>2016</v>
      </c>
      <c r="F3862" t="str">
        <f>"Georgiev et al"</f>
        <v>Georgiev et al</v>
      </c>
      <c r="G3862" t="str">
        <f>"arang"</f>
        <v>arang</v>
      </c>
    </row>
    <row r="3863" spans="1:7" x14ac:dyDescent="0.25">
      <c r="A3863" t="str">
        <f>"Weathered"</f>
        <v>Weathered</v>
      </c>
      <c r="B3863" t="str">
        <f>"9781473924994"</f>
        <v>9781473924994</v>
      </c>
      <c r="C3863">
        <v>17.239999999999998</v>
      </c>
      <c r="D3863" t="str">
        <f>"GBP"</f>
        <v>GBP</v>
      </c>
      <c r="E3863" t="str">
        <f>"2016"</f>
        <v>2016</v>
      </c>
      <c r="F3863" t="str">
        <f>"Mike Hulme"</f>
        <v>Mike Hulme</v>
      </c>
      <c r="G3863" t="str">
        <f>"kowkab"</f>
        <v>kowkab</v>
      </c>
    </row>
    <row r="3864" spans="1:7" x14ac:dyDescent="0.25">
      <c r="A3864" t="str">
        <f>"Weathered"</f>
        <v>Weathered</v>
      </c>
      <c r="B3864" t="str">
        <f>"9781473924987"</f>
        <v>9781473924987</v>
      </c>
      <c r="C3864">
        <v>48.75</v>
      </c>
      <c r="D3864" t="str">
        <f>"GBP"</f>
        <v>GBP</v>
      </c>
      <c r="E3864" t="str">
        <f>"2016"</f>
        <v>2016</v>
      </c>
      <c r="F3864" t="str">
        <f>"Mike Hulme"</f>
        <v>Mike Hulme</v>
      </c>
      <c r="G3864" t="str">
        <f>"kowkab"</f>
        <v>kowkab</v>
      </c>
    </row>
    <row r="3865" spans="1:7" x14ac:dyDescent="0.25">
      <c r="A3865" t="str">
        <f>"Wetlands for Water Pollution Control, 2nd Edition"</f>
        <v>Wetlands for Water Pollution Control, 2nd Edition</v>
      </c>
      <c r="B3865" t="str">
        <f>"9780444636072"</f>
        <v>9780444636072</v>
      </c>
      <c r="C3865">
        <v>135</v>
      </c>
      <c r="D3865" t="str">
        <f>"USD"</f>
        <v>USD</v>
      </c>
      <c r="E3865" t="str">
        <f>"2015"</f>
        <v>2015</v>
      </c>
      <c r="F3865" t="str">
        <f>"Scholz"</f>
        <v>Scholz</v>
      </c>
      <c r="G3865" t="str">
        <f>"arang"</f>
        <v>arang</v>
      </c>
    </row>
    <row r="3866" spans="1:7" x14ac:dyDescent="0.25">
      <c r="A3866" t="str">
        <f>"What is Critical Environmental Justice?"</f>
        <v>What is Critical Environmental Justice?</v>
      </c>
      <c r="B3866" t="str">
        <f>"9780745679389"</f>
        <v>9780745679389</v>
      </c>
      <c r="C3866">
        <v>20.7</v>
      </c>
      <c r="D3866" t="str">
        <f>"USD"</f>
        <v>USD</v>
      </c>
      <c r="E3866" t="str">
        <f>"2017"</f>
        <v>2017</v>
      </c>
      <c r="F3866" t="str">
        <f>"Pellow"</f>
        <v>Pellow</v>
      </c>
      <c r="G3866" t="str">
        <f>"avanddanesh"</f>
        <v>avanddanesh</v>
      </c>
    </row>
    <row r="3867" spans="1:7" x14ac:dyDescent="0.25">
      <c r="A3867" t="str">
        <f>"Why REDD will Fail (Routledge Studies in Environmental Policy)"</f>
        <v>Why REDD will Fail (Routledge Studies in Environmental Policy)</v>
      </c>
      <c r="B3867" t="str">
        <f>"9780415729260"</f>
        <v>9780415729260</v>
      </c>
      <c r="C3867">
        <v>38.25</v>
      </c>
      <c r="D3867" t="str">
        <f>"GBP"</f>
        <v>GBP</v>
      </c>
      <c r="E3867" t="str">
        <f>"2016"</f>
        <v>2016</v>
      </c>
      <c r="F3867" t="str">
        <f>"Jessica L. DeShazo,"</f>
        <v>Jessica L. DeShazo,</v>
      </c>
      <c r="G3867" t="str">
        <f>"AsarBartar"</f>
        <v>AsarBartar</v>
      </c>
    </row>
    <row r="3868" spans="1:7" x14ac:dyDescent="0.25">
      <c r="A3868" t="str">
        <f>"WILD PRODUCT GOVERNANCE: FINDING POLICIES THE WORK FOR"</f>
        <v>WILD PRODUCT GOVERNANCE: FINDING POLICIES THE WORK FOR</v>
      </c>
      <c r="B3868" t="str">
        <f>"9781844075003"</f>
        <v>9781844075003</v>
      </c>
      <c r="C3868">
        <v>19.5</v>
      </c>
      <c r="D3868" t="str">
        <f>"GBP"</f>
        <v>GBP</v>
      </c>
      <c r="E3868" t="str">
        <f>"2010"</f>
        <v>2010</v>
      </c>
      <c r="F3868" t="str">
        <f>"RACHEL P. WYNBERG(E"</f>
        <v>RACHEL P. WYNBERG(E</v>
      </c>
      <c r="G3868" t="str">
        <f>"AsarBartar"</f>
        <v>AsarBartar</v>
      </c>
    </row>
    <row r="3869" spans="1:7" x14ac:dyDescent="0.25">
      <c r="A3869" t="str">
        <f>"Wild Rangelands: Conserving Wildlife While Maintaining Livestock in Semi-Arid Ecosystems"</f>
        <v>Wild Rangelands: Conserving Wildlife While Maintaining Livestock in Semi-Arid Ecosystems</v>
      </c>
      <c r="B3869" t="str">
        <f>"9781405177856"</f>
        <v>9781405177856</v>
      </c>
      <c r="C3869">
        <v>32</v>
      </c>
      <c r="D3869" t="str">
        <f>"USD"</f>
        <v>USD</v>
      </c>
      <c r="E3869" t="str">
        <f>"2010"</f>
        <v>2010</v>
      </c>
      <c r="F3869" t="str">
        <f>"du Toit"</f>
        <v>du Toit</v>
      </c>
      <c r="G3869" t="str">
        <f>"avanddanesh"</f>
        <v>avanddanesh</v>
      </c>
    </row>
    <row r="3870" spans="1:7" x14ac:dyDescent="0.25">
      <c r="A3870" t="str">
        <f>"Wild Rangelands: Conserving Wildlife While Maintaining Livestock in Semi-Arid Ecosystems"</f>
        <v>Wild Rangelands: Conserving Wildlife While Maintaining Livestock in Semi-Arid Ecosystems</v>
      </c>
      <c r="B3870" t="str">
        <f>"9781405194884"</f>
        <v>9781405194884</v>
      </c>
      <c r="C3870">
        <v>60</v>
      </c>
      <c r="D3870" t="str">
        <f>"USD"</f>
        <v>USD</v>
      </c>
      <c r="E3870" t="str">
        <f>"2009"</f>
        <v>2009</v>
      </c>
      <c r="F3870" t="str">
        <f>"du Toit"</f>
        <v>du Toit</v>
      </c>
      <c r="G3870" t="str">
        <f>"avanddanesh"</f>
        <v>avanddanesh</v>
      </c>
    </row>
    <row r="3871" spans="1:7" x14ac:dyDescent="0.25">
      <c r="A3871" t="str">
        <f>"Wild Rangelands:Conserving Wildlife While Maintaining Livestock in Semi-Arid Ecosystems"</f>
        <v>Wild Rangelands:Conserving Wildlife While Maintaining Livestock in Semi-Arid Ecosystems</v>
      </c>
      <c r="B3871" t="str">
        <f>"9781405177856"</f>
        <v>9781405177856</v>
      </c>
      <c r="C3871">
        <v>32</v>
      </c>
      <c r="D3871" t="str">
        <f>"USD"</f>
        <v>USD</v>
      </c>
      <c r="E3871" t="str">
        <f>"2010"</f>
        <v>2010</v>
      </c>
      <c r="F3871" t="str">
        <f>"du Toit"</f>
        <v>du Toit</v>
      </c>
      <c r="G3871" t="str">
        <f>"safirketab"</f>
        <v>safirketab</v>
      </c>
    </row>
    <row r="3872" spans="1:7" x14ac:dyDescent="0.25">
      <c r="A3872" t="str">
        <f>"Wilderness (Key Ideas in Geography)"</f>
        <v>Wilderness (Key Ideas in Geography)</v>
      </c>
      <c r="B3872" t="str">
        <f>"9781138830998"</f>
        <v>9781138830998</v>
      </c>
      <c r="C3872">
        <v>23.8</v>
      </c>
      <c r="D3872" t="str">
        <f>"GBP"</f>
        <v>GBP</v>
      </c>
      <c r="E3872" t="str">
        <f>"2016"</f>
        <v>2016</v>
      </c>
      <c r="F3872" t="str">
        <f>"Phillip Vannini,Apr"</f>
        <v>Phillip Vannini,Apr</v>
      </c>
      <c r="G3872" t="str">
        <f>"AsarBartar"</f>
        <v>AsarBartar</v>
      </c>
    </row>
    <row r="3873" spans="1:7" x14ac:dyDescent="0.25">
      <c r="A3873" t="str">
        <f>"Wildland Recreation: Ecology and Management,3e"</f>
        <v>Wildland Recreation: Ecology and Management,3e</v>
      </c>
      <c r="B3873" t="str">
        <f>"9781118397008"</f>
        <v>9781118397008</v>
      </c>
      <c r="C3873">
        <v>48</v>
      </c>
      <c r="D3873" t="str">
        <f>"USD"</f>
        <v>USD</v>
      </c>
      <c r="E3873" t="str">
        <f>"2015"</f>
        <v>2015</v>
      </c>
      <c r="F3873" t="str">
        <f>"Hammitt"</f>
        <v>Hammitt</v>
      </c>
      <c r="G3873" t="str">
        <f>"avanddanesh"</f>
        <v>avanddanesh</v>
      </c>
    </row>
    <row r="3874" spans="1:7" x14ac:dyDescent="0.25">
      <c r="A3874" t="str">
        <f>"Wildlife Search and Rescue: A Guide for First Responders"</f>
        <v>Wildlife Search and Rescue: A Guide for First Responders</v>
      </c>
      <c r="B3874" t="str">
        <f>"9780470655115"</f>
        <v>9780470655115</v>
      </c>
      <c r="C3874">
        <v>33</v>
      </c>
      <c r="D3874" t="str">
        <f>"USD"</f>
        <v>USD</v>
      </c>
      <c r="E3874" t="str">
        <f>"2012"</f>
        <v>2012</v>
      </c>
      <c r="F3874" t="str">
        <f>"Dmytryk"</f>
        <v>Dmytryk</v>
      </c>
      <c r="G3874" t="str">
        <f>"avanddanesh"</f>
        <v>avanddanesh</v>
      </c>
    </row>
    <row r="3875" spans="1:7" x14ac:dyDescent="0.25">
      <c r="A3875" t="str">
        <f>"Wildlife Tourism. Environmental Learning and Ethical Encounters: Ecological and Conservation Aspects"</f>
        <v>Wildlife Tourism. Environmental Learning and Ethical Encounters: Ecological and Conservation Aspects</v>
      </c>
      <c r="B3875" t="str">
        <f>"9783319555737"</f>
        <v>9783319555737</v>
      </c>
      <c r="C3875">
        <v>134.99</v>
      </c>
      <c r="D3875" t="str">
        <f>"EUR"</f>
        <v>EUR</v>
      </c>
      <c r="E3875" t="str">
        <f>"2017"</f>
        <v>2017</v>
      </c>
      <c r="F3875" t="str">
        <f>"Borges de Lima"</f>
        <v>Borges de Lima</v>
      </c>
      <c r="G3875" t="str">
        <f>"negarestanabi"</f>
        <v>negarestanabi</v>
      </c>
    </row>
    <row r="3876" spans="1:7" x14ac:dyDescent="0.25">
      <c r="A3876" t="s">
        <v>15</v>
      </c>
      <c r="B3876" t="str">
        <f>"9788131427453"</f>
        <v>9788131427453</v>
      </c>
      <c r="C3876">
        <v>21.42</v>
      </c>
      <c r="D3876" t="str">
        <f>"USD"</f>
        <v>USD</v>
      </c>
      <c r="E3876" t="str">
        <f>"2012"</f>
        <v>2012</v>
      </c>
      <c r="F3876" t="str">
        <f>"Khandpekar"</f>
        <v>Khandpekar</v>
      </c>
      <c r="G3876" t="str">
        <f>"supply"</f>
        <v>supply</v>
      </c>
    </row>
    <row r="3877" spans="1:7" x14ac:dyDescent="0.25">
      <c r="A3877" t="str">
        <f>"Wood"</f>
        <v>Wood</v>
      </c>
      <c r="B3877" t="str">
        <f>"9780745646886"</f>
        <v>9780745646886</v>
      </c>
      <c r="C3877">
        <v>6</v>
      </c>
      <c r="D3877" t="str">
        <f>"USD"</f>
        <v>USD</v>
      </c>
      <c r="E3877" t="str">
        <f>"2011"</f>
        <v>2011</v>
      </c>
      <c r="F3877" t="str">
        <f>"Radkau"</f>
        <v>Radkau</v>
      </c>
      <c r="G3877" t="str">
        <f>"avanddanesh"</f>
        <v>avanddanesh</v>
      </c>
    </row>
    <row r="3878" spans="1:7" x14ac:dyDescent="0.25">
      <c r="A3878" t="str">
        <f>"WORLD CLIMATE POLICY, HB"</f>
        <v>WORLD CLIMATE POLICY, HB</v>
      </c>
      <c r="B3878" t="str">
        <f>"9781926686363"</f>
        <v>9781926686363</v>
      </c>
      <c r="C3878">
        <v>93.1</v>
      </c>
      <c r="D3878" t="str">
        <f>"USD"</f>
        <v>USD</v>
      </c>
      <c r="E3878" t="str">
        <f>"2010"</f>
        <v>2010</v>
      </c>
      <c r="F3878" t="str">
        <f>"Dubois"</f>
        <v>Dubois</v>
      </c>
      <c r="G3878" t="str">
        <f>"supply"</f>
        <v>supply</v>
      </c>
    </row>
    <row r="3879" spans="1:7" x14ac:dyDescent="0.25">
      <c r="A3879" t="str">
        <f>"Writing for Earth Scientists: 52 Lessons in Academic Publishing"</f>
        <v>Writing for Earth Scientists: 52 Lessons in Academic Publishing</v>
      </c>
      <c r="B3879" t="str">
        <f>"9781119216773"</f>
        <v>9781119216773</v>
      </c>
      <c r="C3879">
        <v>33.799999999999997</v>
      </c>
      <c r="D3879" t="str">
        <f>"USD"</f>
        <v>USD</v>
      </c>
      <c r="E3879" t="str">
        <f>"2017"</f>
        <v>2017</v>
      </c>
      <c r="F3879" t="str">
        <f>"Donovan"</f>
        <v>Donovan</v>
      </c>
      <c r="G3879" t="str">
        <f>"avanddanesh"</f>
        <v>avanddanesh</v>
      </c>
    </row>
    <row r="3880" spans="1:7" x14ac:dyDescent="0.25">
      <c r="A3880" t="str">
        <f>"Writing in the Environmental Sciences : A Seven-Step Guide"</f>
        <v>Writing in the Environmental Sciences : A Seven-Step Guide</v>
      </c>
      <c r="B3880" t="str">
        <f>"9781316643563"</f>
        <v>9781316643563</v>
      </c>
      <c r="C3880">
        <v>21.3</v>
      </c>
      <c r="D3880" t="str">
        <f>"GBP"</f>
        <v>GBP</v>
      </c>
      <c r="E3880" t="str">
        <f>"2017"</f>
        <v>2017</v>
      </c>
      <c r="F3880" t="str">
        <f>"Baker"</f>
        <v>Baker</v>
      </c>
      <c r="G3880" t="str">
        <f>"arzinbooks"</f>
        <v>arzinbooks</v>
      </c>
    </row>
    <row r="3881" spans="1:7" x14ac:dyDescent="0.25">
      <c r="A3881" t="str">
        <f>"Writing Undergraduate Lab Reports : A Guide for Students"</f>
        <v>Writing Undergraduate Lab Reports : A Guide for Students</v>
      </c>
      <c r="B3881" t="str">
        <f>"9781107540248"</f>
        <v>9781107540248</v>
      </c>
      <c r="C3881">
        <v>15.3</v>
      </c>
      <c r="D3881" t="str">
        <f>"GBP"</f>
        <v>GBP</v>
      </c>
      <c r="E3881" t="str">
        <f>"2017"</f>
        <v>2017</v>
      </c>
      <c r="F3881" t="str">
        <f>"Lobban"</f>
        <v>Lobban</v>
      </c>
      <c r="G3881" t="str">
        <f>"arzinbooks"</f>
        <v>arzinbooks</v>
      </c>
    </row>
    <row r="3882" spans="1:7" x14ac:dyDescent="0.25">
      <c r="A3882" t="str">
        <f>"Xenobiotics in the Soil Environment: Monitoring. Toxicity and Management"</f>
        <v>Xenobiotics in the Soil Environment: Monitoring. Toxicity and Management</v>
      </c>
      <c r="B3882" t="str">
        <f>"9783319477435"</f>
        <v>9783319477435</v>
      </c>
      <c r="C3882">
        <v>152.99</v>
      </c>
      <c r="D3882" t="str">
        <f>"EUR"</f>
        <v>EUR</v>
      </c>
      <c r="E3882" t="str">
        <f>"2017"</f>
        <v>2017</v>
      </c>
      <c r="F3882" t="str">
        <f>"Hashmi"</f>
        <v>Hashmi</v>
      </c>
      <c r="G3882" t="str">
        <f>"negarestanabi"</f>
        <v>negarestanabi</v>
      </c>
    </row>
    <row r="3883" spans="1:7" x14ac:dyDescent="0.25">
      <c r="A3883" t="str">
        <f>"Year in Ecology and Conservation Biology 2008"</f>
        <v>Year in Ecology and Conservation Biology 2008</v>
      </c>
      <c r="B3883" t="str">
        <f>"9781573317252"</f>
        <v>9781573317252</v>
      </c>
      <c r="C3883">
        <v>50</v>
      </c>
      <c r="D3883" t="str">
        <f>"USD"</f>
        <v>USD</v>
      </c>
      <c r="E3883" t="str">
        <f>"2008"</f>
        <v>2008</v>
      </c>
      <c r="F3883" t="str">
        <f>"Ostfeld"</f>
        <v>Ostfeld</v>
      </c>
      <c r="G3883" t="str">
        <f>"avanddanesh"</f>
        <v>avanddanesh</v>
      </c>
    </row>
    <row r="3884" spans="1:7" x14ac:dyDescent="0.25">
      <c r="A3884" t="str">
        <f>"Year in Ecology and Conservation Biology, 2008"</f>
        <v>Year in Ecology and Conservation Biology, 2008</v>
      </c>
      <c r="B3884" t="str">
        <f>"9781573317252"</f>
        <v>9781573317252</v>
      </c>
      <c r="C3884">
        <v>50</v>
      </c>
      <c r="D3884" t="str">
        <f>"USD"</f>
        <v>USD</v>
      </c>
      <c r="E3884" t="str">
        <f>"2008"</f>
        <v>2008</v>
      </c>
      <c r="F3884" t="str">
        <f>"Ostfeld"</f>
        <v>Ostfeld</v>
      </c>
      <c r="G3884" t="str">
        <f>"safirketab"</f>
        <v>safirketab</v>
      </c>
    </row>
    <row r="3885" spans="1:7" x14ac:dyDescent="0.25">
      <c r="A3885" t="str">
        <f>"Year in Ecology and Conservation Biology, 2009"</f>
        <v>Year in Ecology and Conservation Biology, 2009</v>
      </c>
      <c r="B3885" t="str">
        <f>"9781573317535"</f>
        <v>9781573317535</v>
      </c>
      <c r="C3885">
        <v>97.5</v>
      </c>
      <c r="D3885" t="str">
        <f>"USD"</f>
        <v>USD</v>
      </c>
      <c r="E3885" t="str">
        <f>"2009"</f>
        <v>2009</v>
      </c>
      <c r="F3885" t="str">
        <f>"Ostfeld"</f>
        <v>Ostfeld</v>
      </c>
      <c r="G3885" t="str">
        <f>"safirketab"</f>
        <v>safirketab</v>
      </c>
    </row>
    <row r="3886" spans="1:7" x14ac:dyDescent="0.25">
      <c r="A3886" t="str">
        <f>"Your Human Geography Dissertation"</f>
        <v>Your Human Geography Dissertation</v>
      </c>
      <c r="B3886" t="str">
        <f>"9781446295182"</f>
        <v>9781446295182</v>
      </c>
      <c r="C3886">
        <v>48.75</v>
      </c>
      <c r="D3886" t="str">
        <f>"GBP"</f>
        <v>GBP</v>
      </c>
      <c r="E3886" t="str">
        <f>"2017"</f>
        <v>2017</v>
      </c>
      <c r="F3886" t="str">
        <f>"Kimberley A. Pe"</f>
        <v>Kimberley A. Pe</v>
      </c>
      <c r="G3886" t="str">
        <f>"kowkab"</f>
        <v>kowkab</v>
      </c>
    </row>
  </sheetData>
  <mergeCells count="4">
    <mergeCell ref="A2593:G2594"/>
    <mergeCell ref="A2:G3"/>
    <mergeCell ref="A118:G119"/>
    <mergeCell ref="A1924:G19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darband</dc:creator>
  <cp:lastModifiedBy>darband</cp:lastModifiedBy>
  <dcterms:created xsi:type="dcterms:W3CDTF">2018-04-18T09:25:23Z</dcterms:created>
  <dcterms:modified xsi:type="dcterms:W3CDTF">2018-04-18T09:35:26Z</dcterms:modified>
</cp:coreProperties>
</file>