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44" i="1" l="1"/>
  <c r="F1344" i="1"/>
  <c r="E1344" i="1"/>
  <c r="D1344" i="1"/>
  <c r="B1344" i="1"/>
  <c r="A1344" i="1"/>
  <c r="G1343" i="1"/>
  <c r="F1343" i="1"/>
  <c r="E1343" i="1"/>
  <c r="D1343" i="1"/>
  <c r="B1343" i="1"/>
  <c r="A1343" i="1"/>
  <c r="G1342" i="1"/>
  <c r="F1342" i="1"/>
  <c r="E1342" i="1"/>
  <c r="D1342" i="1"/>
  <c r="B1342" i="1"/>
  <c r="A1342" i="1"/>
  <c r="G1341" i="1"/>
  <c r="F1341" i="1"/>
  <c r="E1341" i="1"/>
  <c r="D1341" i="1"/>
  <c r="B1341" i="1"/>
  <c r="A1341" i="1"/>
  <c r="G1340" i="1"/>
  <c r="F1340" i="1"/>
  <c r="E1340" i="1"/>
  <c r="D1340" i="1"/>
  <c r="B1340" i="1"/>
  <c r="A1340" i="1"/>
  <c r="G1339" i="1"/>
  <c r="F1339" i="1"/>
  <c r="E1339" i="1"/>
  <c r="D1339" i="1"/>
  <c r="B1339" i="1"/>
  <c r="A1339" i="1"/>
  <c r="G1338" i="1"/>
  <c r="F1338" i="1"/>
  <c r="E1338" i="1"/>
  <c r="D1338" i="1"/>
  <c r="B1338" i="1"/>
  <c r="A1338" i="1"/>
  <c r="G1337" i="1"/>
  <c r="F1337" i="1"/>
  <c r="E1337" i="1"/>
  <c r="D1337" i="1"/>
  <c r="B1337" i="1"/>
  <c r="A1337" i="1"/>
  <c r="G1336" i="1"/>
  <c r="F1336" i="1"/>
  <c r="E1336" i="1"/>
  <c r="D1336" i="1"/>
  <c r="B1336" i="1"/>
  <c r="A1336" i="1"/>
  <c r="G1335" i="1"/>
  <c r="F1335" i="1"/>
  <c r="E1335" i="1"/>
  <c r="D1335" i="1"/>
  <c r="B1335" i="1"/>
  <c r="A1335" i="1"/>
  <c r="G1334" i="1"/>
  <c r="F1334" i="1"/>
  <c r="E1334" i="1"/>
  <c r="D1334" i="1"/>
  <c r="B1334" i="1"/>
  <c r="A1334" i="1"/>
  <c r="G1333" i="1"/>
  <c r="F1333" i="1"/>
  <c r="E1333" i="1"/>
  <c r="D1333" i="1"/>
  <c r="B1333" i="1"/>
  <c r="A1333" i="1"/>
  <c r="G1332" i="1"/>
  <c r="F1332" i="1"/>
  <c r="E1332" i="1"/>
  <c r="D1332" i="1"/>
  <c r="B1332" i="1"/>
  <c r="A1332" i="1"/>
  <c r="G1331" i="1"/>
  <c r="F1331" i="1"/>
  <c r="E1331" i="1"/>
  <c r="D1331" i="1"/>
  <c r="B1331" i="1"/>
  <c r="A1331" i="1"/>
  <c r="G1330" i="1"/>
  <c r="F1330" i="1"/>
  <c r="E1330" i="1"/>
  <c r="D1330" i="1"/>
  <c r="B1330" i="1"/>
  <c r="A1330" i="1"/>
  <c r="G1329" i="1"/>
  <c r="F1329" i="1"/>
  <c r="E1329" i="1"/>
  <c r="D1329" i="1"/>
  <c r="B1329" i="1"/>
  <c r="A1329" i="1"/>
  <c r="G1328" i="1"/>
  <c r="F1328" i="1"/>
  <c r="E1328" i="1"/>
  <c r="D1328" i="1"/>
  <c r="B1328" i="1"/>
  <c r="A1328" i="1"/>
  <c r="G1327" i="1"/>
  <c r="F1327" i="1"/>
  <c r="E1327" i="1"/>
  <c r="D1327" i="1"/>
  <c r="B1327" i="1"/>
  <c r="A1327" i="1"/>
  <c r="G1326" i="1"/>
  <c r="F1326" i="1"/>
  <c r="E1326" i="1"/>
  <c r="D1326" i="1"/>
  <c r="B1326" i="1"/>
  <c r="A1326" i="1"/>
  <c r="G1325" i="1"/>
  <c r="F1325" i="1"/>
  <c r="E1325" i="1"/>
  <c r="D1325" i="1"/>
  <c r="B1325" i="1"/>
  <c r="A1325" i="1"/>
  <c r="G1324" i="1"/>
  <c r="F1324" i="1"/>
  <c r="E1324" i="1"/>
  <c r="D1324" i="1"/>
  <c r="B1324" i="1"/>
  <c r="A1324" i="1"/>
  <c r="G1323" i="1"/>
  <c r="F1323" i="1"/>
  <c r="E1323" i="1"/>
  <c r="D1323" i="1"/>
  <c r="B1323" i="1"/>
  <c r="A1323" i="1"/>
  <c r="G1322" i="1"/>
  <c r="F1322" i="1"/>
  <c r="E1322" i="1"/>
  <c r="D1322" i="1"/>
  <c r="B1322" i="1"/>
  <c r="A1322" i="1"/>
  <c r="G1321" i="1"/>
  <c r="F1321" i="1"/>
  <c r="E1321" i="1"/>
  <c r="D1321" i="1"/>
  <c r="B1321" i="1"/>
  <c r="A1321" i="1"/>
  <c r="G1320" i="1"/>
  <c r="F1320" i="1"/>
  <c r="E1320" i="1"/>
  <c r="D1320" i="1"/>
  <c r="B1320" i="1"/>
  <c r="A1320" i="1"/>
  <c r="G1319" i="1"/>
  <c r="F1319" i="1"/>
  <c r="E1319" i="1"/>
  <c r="D1319" i="1"/>
  <c r="B1319" i="1"/>
  <c r="A1319" i="1"/>
  <c r="G1318" i="1"/>
  <c r="F1318" i="1"/>
  <c r="E1318" i="1"/>
  <c r="D1318" i="1"/>
  <c r="B1318" i="1"/>
  <c r="A1318" i="1"/>
  <c r="G1317" i="1"/>
  <c r="F1317" i="1"/>
  <c r="E1317" i="1"/>
  <c r="D1317" i="1"/>
  <c r="C1317" i="1"/>
  <c r="A1317" i="1"/>
  <c r="G1315" i="1"/>
  <c r="F1315" i="1"/>
  <c r="E1315" i="1"/>
  <c r="D1315" i="1"/>
  <c r="B1315" i="1"/>
  <c r="A1315" i="1"/>
  <c r="G1314" i="1"/>
  <c r="F1314" i="1"/>
  <c r="E1314" i="1"/>
  <c r="D1314" i="1"/>
  <c r="B1314" i="1"/>
  <c r="A1314" i="1"/>
  <c r="G1313" i="1"/>
  <c r="F1313" i="1"/>
  <c r="E1313" i="1"/>
  <c r="D1313" i="1"/>
  <c r="B1313" i="1"/>
  <c r="A1313" i="1"/>
  <c r="G1312" i="1"/>
  <c r="F1312" i="1"/>
  <c r="E1312" i="1"/>
  <c r="D1312" i="1"/>
  <c r="B1312" i="1"/>
  <c r="A1312" i="1"/>
  <c r="G1311" i="1"/>
  <c r="F1311" i="1"/>
  <c r="E1311" i="1"/>
  <c r="D1311" i="1"/>
  <c r="B1311" i="1"/>
  <c r="A1311" i="1"/>
  <c r="G1310" i="1"/>
  <c r="F1310" i="1"/>
  <c r="E1310" i="1"/>
  <c r="D1310" i="1"/>
  <c r="B1310" i="1"/>
  <c r="A1310" i="1"/>
  <c r="G1309" i="1"/>
  <c r="F1309" i="1"/>
  <c r="E1309" i="1"/>
  <c r="D1309" i="1"/>
  <c r="B1309" i="1"/>
  <c r="A1309" i="1"/>
  <c r="G1308" i="1"/>
  <c r="F1308" i="1"/>
  <c r="E1308" i="1"/>
  <c r="D1308" i="1"/>
  <c r="B1308" i="1"/>
  <c r="A1308" i="1"/>
  <c r="G1307" i="1"/>
  <c r="F1307" i="1"/>
  <c r="E1307" i="1"/>
  <c r="D1307" i="1"/>
  <c r="B1307" i="1"/>
  <c r="A1307" i="1"/>
  <c r="G1306" i="1"/>
  <c r="F1306" i="1"/>
  <c r="E1306" i="1"/>
  <c r="D1306" i="1"/>
  <c r="B1306" i="1"/>
  <c r="A1306" i="1"/>
  <c r="G1305" i="1"/>
  <c r="F1305" i="1"/>
  <c r="E1305" i="1"/>
  <c r="D1305" i="1"/>
  <c r="B1305" i="1"/>
  <c r="A1305" i="1"/>
  <c r="G1304" i="1"/>
  <c r="F1304" i="1"/>
  <c r="E1304" i="1"/>
  <c r="D1304" i="1"/>
  <c r="B1304" i="1"/>
  <c r="A1304" i="1"/>
  <c r="G1303" i="1"/>
  <c r="F1303" i="1"/>
  <c r="E1303" i="1"/>
  <c r="D1303" i="1"/>
  <c r="B1303" i="1"/>
  <c r="A1303" i="1"/>
  <c r="G1302" i="1"/>
  <c r="F1302" i="1"/>
  <c r="E1302" i="1"/>
  <c r="D1302" i="1"/>
  <c r="B1302" i="1"/>
  <c r="A1302" i="1"/>
  <c r="G1301" i="1"/>
  <c r="F1301" i="1"/>
  <c r="E1301" i="1"/>
  <c r="D1301" i="1"/>
  <c r="B1301" i="1"/>
  <c r="A1301" i="1"/>
  <c r="G1300" i="1"/>
  <c r="F1300" i="1"/>
  <c r="E1300" i="1"/>
  <c r="D1300" i="1"/>
  <c r="B1300" i="1"/>
  <c r="A1300" i="1"/>
  <c r="G1299" i="1"/>
  <c r="F1299" i="1"/>
  <c r="E1299" i="1"/>
  <c r="D1299" i="1"/>
  <c r="B1299" i="1"/>
  <c r="A1299" i="1"/>
  <c r="G1298" i="1"/>
  <c r="F1298" i="1"/>
  <c r="E1298" i="1"/>
  <c r="D1298" i="1"/>
  <c r="B1298" i="1"/>
  <c r="A1298" i="1"/>
  <c r="G1297" i="1"/>
  <c r="F1297" i="1"/>
  <c r="E1297" i="1"/>
  <c r="D1297" i="1"/>
  <c r="B1297" i="1"/>
  <c r="A1297" i="1"/>
  <c r="G1296" i="1"/>
  <c r="F1296" i="1"/>
  <c r="E1296" i="1"/>
  <c r="D1296" i="1"/>
  <c r="B1296" i="1"/>
  <c r="A1296" i="1"/>
  <c r="G1295" i="1"/>
  <c r="F1295" i="1"/>
  <c r="E1295" i="1"/>
  <c r="D1295" i="1"/>
  <c r="B1295" i="1"/>
  <c r="A1295" i="1"/>
  <c r="G1294" i="1"/>
  <c r="F1294" i="1"/>
  <c r="E1294" i="1"/>
  <c r="D1294" i="1"/>
  <c r="B1294" i="1"/>
  <c r="A1294" i="1"/>
  <c r="G1293" i="1"/>
  <c r="F1293" i="1"/>
  <c r="E1293" i="1"/>
  <c r="D1293" i="1"/>
  <c r="B1293" i="1"/>
  <c r="A1293" i="1"/>
  <c r="G1292" i="1"/>
  <c r="F1292" i="1"/>
  <c r="E1292" i="1"/>
  <c r="D1292" i="1"/>
  <c r="B1292" i="1"/>
  <c r="A1292" i="1"/>
  <c r="G1291" i="1"/>
  <c r="F1291" i="1"/>
  <c r="E1291" i="1"/>
  <c r="D1291" i="1"/>
  <c r="B1291" i="1"/>
  <c r="A1291" i="1"/>
  <c r="G1290" i="1"/>
  <c r="F1290" i="1"/>
  <c r="E1290" i="1"/>
  <c r="D1290" i="1"/>
  <c r="B1290" i="1"/>
  <c r="A1290" i="1"/>
  <c r="G1289" i="1"/>
  <c r="F1289" i="1"/>
  <c r="E1289" i="1"/>
  <c r="D1289" i="1"/>
  <c r="B1289" i="1"/>
  <c r="A1289" i="1"/>
  <c r="G1288" i="1"/>
  <c r="F1288" i="1"/>
  <c r="E1288" i="1"/>
  <c r="D1288" i="1"/>
  <c r="B1288" i="1"/>
  <c r="A1288" i="1"/>
  <c r="G1287" i="1"/>
  <c r="F1287" i="1"/>
  <c r="E1287" i="1"/>
  <c r="D1287" i="1"/>
  <c r="B1287" i="1"/>
  <c r="A1287" i="1"/>
  <c r="G1286" i="1"/>
  <c r="F1286" i="1"/>
  <c r="E1286" i="1"/>
  <c r="D1286" i="1"/>
  <c r="B1286" i="1"/>
  <c r="A1286" i="1"/>
  <c r="G1285" i="1"/>
  <c r="F1285" i="1"/>
  <c r="E1285" i="1"/>
  <c r="D1285" i="1"/>
  <c r="B1285" i="1"/>
  <c r="A1285" i="1"/>
  <c r="G1284" i="1"/>
  <c r="F1284" i="1"/>
  <c r="E1284" i="1"/>
  <c r="D1284" i="1"/>
  <c r="B1284" i="1"/>
  <c r="A1284" i="1"/>
  <c r="G1283" i="1"/>
  <c r="F1283" i="1"/>
  <c r="E1283" i="1"/>
  <c r="D1283" i="1"/>
  <c r="B1283" i="1"/>
  <c r="A1283" i="1"/>
  <c r="G1282" i="1"/>
  <c r="F1282" i="1"/>
  <c r="E1282" i="1"/>
  <c r="D1282" i="1"/>
  <c r="B1282" i="1"/>
  <c r="A1282" i="1"/>
  <c r="G1281" i="1"/>
  <c r="F1281" i="1"/>
  <c r="E1281" i="1"/>
  <c r="D1281" i="1"/>
  <c r="B1281" i="1"/>
  <c r="A1281" i="1"/>
  <c r="G1280" i="1"/>
  <c r="F1280" i="1"/>
  <c r="E1280" i="1"/>
  <c r="D1280" i="1"/>
  <c r="B1280" i="1"/>
  <c r="A1280" i="1"/>
  <c r="G1279" i="1"/>
  <c r="F1279" i="1"/>
  <c r="E1279" i="1"/>
  <c r="D1279" i="1"/>
  <c r="B1279" i="1"/>
  <c r="A1279" i="1"/>
  <c r="G1278" i="1"/>
  <c r="F1278" i="1"/>
  <c r="E1278" i="1"/>
  <c r="D1278" i="1"/>
  <c r="B1278" i="1"/>
  <c r="A1278" i="1"/>
  <c r="G1277" i="1"/>
  <c r="F1277" i="1"/>
  <c r="E1277" i="1"/>
  <c r="D1277" i="1"/>
  <c r="B1277" i="1"/>
  <c r="A1277" i="1"/>
  <c r="G1276" i="1"/>
  <c r="F1276" i="1"/>
  <c r="E1276" i="1"/>
  <c r="D1276" i="1"/>
  <c r="B1276" i="1"/>
  <c r="A1276" i="1"/>
  <c r="G1275" i="1"/>
  <c r="F1275" i="1"/>
  <c r="E1275" i="1"/>
  <c r="D1275" i="1"/>
  <c r="B1275" i="1"/>
  <c r="A1275" i="1"/>
  <c r="G1274" i="1"/>
  <c r="F1274" i="1"/>
  <c r="E1274" i="1"/>
  <c r="D1274" i="1"/>
  <c r="B1274" i="1"/>
  <c r="A1274" i="1"/>
  <c r="G1273" i="1"/>
  <c r="F1273" i="1"/>
  <c r="E1273" i="1"/>
  <c r="D1273" i="1"/>
  <c r="B1273" i="1"/>
  <c r="A1273" i="1"/>
  <c r="G1272" i="1"/>
  <c r="F1272" i="1"/>
  <c r="E1272" i="1"/>
  <c r="D1272" i="1"/>
  <c r="B1272" i="1"/>
  <c r="A1272" i="1"/>
  <c r="G1271" i="1"/>
  <c r="F1271" i="1"/>
  <c r="E1271" i="1"/>
  <c r="D1271" i="1"/>
  <c r="B1271" i="1"/>
  <c r="A1271" i="1"/>
  <c r="G1270" i="1"/>
  <c r="F1270" i="1"/>
  <c r="E1270" i="1"/>
  <c r="D1270" i="1"/>
  <c r="B1270" i="1"/>
  <c r="A1270" i="1"/>
  <c r="G1269" i="1"/>
  <c r="F1269" i="1"/>
  <c r="E1269" i="1"/>
  <c r="D1269" i="1"/>
  <c r="B1269" i="1"/>
  <c r="A1269" i="1"/>
  <c r="G1268" i="1"/>
  <c r="F1268" i="1"/>
  <c r="E1268" i="1"/>
  <c r="D1268" i="1"/>
  <c r="B1268" i="1"/>
  <c r="A1268" i="1"/>
  <c r="G1267" i="1"/>
  <c r="F1267" i="1"/>
  <c r="E1267" i="1"/>
  <c r="D1267" i="1"/>
  <c r="B1267" i="1"/>
  <c r="A1267" i="1"/>
  <c r="G1266" i="1"/>
  <c r="F1266" i="1"/>
  <c r="E1266" i="1"/>
  <c r="D1266" i="1"/>
  <c r="B1266" i="1"/>
  <c r="A1266" i="1"/>
  <c r="G1265" i="1"/>
  <c r="F1265" i="1"/>
  <c r="E1265" i="1"/>
  <c r="D1265" i="1"/>
  <c r="B1265" i="1"/>
  <c r="A1265" i="1"/>
  <c r="G1264" i="1"/>
  <c r="F1264" i="1"/>
  <c r="E1264" i="1"/>
  <c r="D1264" i="1"/>
  <c r="B1264" i="1"/>
  <c r="A1264" i="1"/>
  <c r="G1263" i="1"/>
  <c r="F1263" i="1"/>
  <c r="E1263" i="1"/>
  <c r="D1263" i="1"/>
  <c r="B1263" i="1"/>
  <c r="A1263" i="1"/>
  <c r="G1262" i="1"/>
  <c r="F1262" i="1"/>
  <c r="E1262" i="1"/>
  <c r="D1262" i="1"/>
  <c r="B1262" i="1"/>
  <c r="A1262" i="1"/>
  <c r="G1261" i="1"/>
  <c r="F1261" i="1"/>
  <c r="E1261" i="1"/>
  <c r="D1261" i="1"/>
  <c r="B1261" i="1"/>
  <c r="A1261" i="1"/>
  <c r="G1260" i="1"/>
  <c r="F1260" i="1"/>
  <c r="E1260" i="1"/>
  <c r="D1260" i="1"/>
  <c r="B1260" i="1"/>
  <c r="A1260" i="1"/>
  <c r="G1259" i="1"/>
  <c r="F1259" i="1"/>
  <c r="E1259" i="1"/>
  <c r="D1259" i="1"/>
  <c r="B1259" i="1"/>
  <c r="A1259" i="1"/>
  <c r="G1258" i="1"/>
  <c r="F1258" i="1"/>
  <c r="E1258" i="1"/>
  <c r="D1258" i="1"/>
  <c r="B1258" i="1"/>
  <c r="A1258" i="1"/>
  <c r="G1257" i="1"/>
  <c r="F1257" i="1"/>
  <c r="E1257" i="1"/>
  <c r="D1257" i="1"/>
  <c r="B1257" i="1"/>
  <c r="A1257" i="1"/>
  <c r="G1256" i="1"/>
  <c r="F1256" i="1"/>
  <c r="E1256" i="1"/>
  <c r="D1256" i="1"/>
  <c r="B1256" i="1"/>
  <c r="A1256" i="1"/>
  <c r="G1255" i="1"/>
  <c r="F1255" i="1"/>
  <c r="E1255" i="1"/>
  <c r="D1255" i="1"/>
  <c r="B1255" i="1"/>
  <c r="A1255" i="1"/>
  <c r="G1254" i="1"/>
  <c r="F1254" i="1"/>
  <c r="E1254" i="1"/>
  <c r="D1254" i="1"/>
  <c r="B1254" i="1"/>
  <c r="A1254" i="1"/>
  <c r="G1253" i="1"/>
  <c r="F1253" i="1"/>
  <c r="E1253" i="1"/>
  <c r="D1253" i="1"/>
  <c r="B1253" i="1"/>
  <c r="A1253" i="1"/>
  <c r="G1252" i="1"/>
  <c r="F1252" i="1"/>
  <c r="E1252" i="1"/>
  <c r="D1252" i="1"/>
  <c r="B1252" i="1"/>
  <c r="A1252" i="1"/>
  <c r="G1251" i="1"/>
  <c r="F1251" i="1"/>
  <c r="E1251" i="1"/>
  <c r="D1251" i="1"/>
  <c r="B1251" i="1"/>
  <c r="A1251" i="1"/>
  <c r="G1250" i="1"/>
  <c r="F1250" i="1"/>
  <c r="E1250" i="1"/>
  <c r="D1250" i="1"/>
  <c r="B1250" i="1"/>
  <c r="A1250" i="1"/>
  <c r="G1249" i="1"/>
  <c r="F1249" i="1"/>
  <c r="E1249" i="1"/>
  <c r="D1249" i="1"/>
  <c r="B1249" i="1"/>
  <c r="A1249" i="1"/>
  <c r="G1248" i="1"/>
  <c r="F1248" i="1"/>
  <c r="E1248" i="1"/>
  <c r="D1248" i="1"/>
  <c r="B1248" i="1"/>
  <c r="A1248" i="1"/>
  <c r="G1247" i="1"/>
  <c r="F1247" i="1"/>
  <c r="E1247" i="1"/>
  <c r="D1247" i="1"/>
  <c r="B1247" i="1"/>
  <c r="A1247" i="1"/>
  <c r="G1246" i="1"/>
  <c r="F1246" i="1"/>
  <c r="E1246" i="1"/>
  <c r="D1246" i="1"/>
  <c r="B1246" i="1"/>
  <c r="A1246" i="1"/>
  <c r="G1245" i="1"/>
  <c r="F1245" i="1"/>
  <c r="E1245" i="1"/>
  <c r="D1245" i="1"/>
  <c r="B1245" i="1"/>
  <c r="A1245" i="1"/>
  <c r="G1244" i="1"/>
  <c r="F1244" i="1"/>
  <c r="E1244" i="1"/>
  <c r="D1244" i="1"/>
  <c r="B1244" i="1"/>
  <c r="A1244" i="1"/>
  <c r="G1243" i="1"/>
  <c r="F1243" i="1"/>
  <c r="E1243" i="1"/>
  <c r="D1243" i="1"/>
  <c r="B1243" i="1"/>
  <c r="A1243" i="1"/>
  <c r="G1242" i="1"/>
  <c r="F1242" i="1"/>
  <c r="E1242" i="1"/>
  <c r="D1242" i="1"/>
  <c r="B1242" i="1"/>
  <c r="A1242" i="1"/>
  <c r="G1241" i="1"/>
  <c r="F1241" i="1"/>
  <c r="E1241" i="1"/>
  <c r="D1241" i="1"/>
  <c r="B1241" i="1"/>
  <c r="A1241" i="1"/>
  <c r="G1240" i="1"/>
  <c r="F1240" i="1"/>
  <c r="E1240" i="1"/>
  <c r="D1240" i="1"/>
  <c r="B1240" i="1"/>
  <c r="A1240" i="1"/>
  <c r="G1235" i="1"/>
  <c r="F1235" i="1"/>
  <c r="E1235" i="1"/>
  <c r="D1235" i="1"/>
  <c r="B1235" i="1"/>
  <c r="A1235" i="1"/>
  <c r="G1234" i="1"/>
  <c r="F1234" i="1"/>
  <c r="E1234" i="1"/>
  <c r="D1234" i="1"/>
  <c r="B1234" i="1"/>
  <c r="A1234" i="1"/>
  <c r="G1233" i="1"/>
  <c r="F1233" i="1"/>
  <c r="E1233" i="1"/>
  <c r="D1233" i="1"/>
  <c r="B1233" i="1"/>
  <c r="A1233" i="1"/>
  <c r="G1232" i="1"/>
  <c r="F1232" i="1"/>
  <c r="E1232" i="1"/>
  <c r="D1232" i="1"/>
  <c r="B1232" i="1"/>
  <c r="A1232" i="1"/>
  <c r="G1231" i="1"/>
  <c r="F1231" i="1"/>
  <c r="E1231" i="1"/>
  <c r="D1231" i="1"/>
  <c r="B1231" i="1"/>
  <c r="A1231" i="1"/>
  <c r="G1230" i="1"/>
  <c r="F1230" i="1"/>
  <c r="E1230" i="1"/>
  <c r="D1230" i="1"/>
  <c r="B1230" i="1"/>
  <c r="A1230" i="1"/>
  <c r="G1229" i="1"/>
  <c r="F1229" i="1"/>
  <c r="E1229" i="1"/>
  <c r="D1229" i="1"/>
  <c r="B1229" i="1"/>
  <c r="A1229" i="1"/>
  <c r="G1228" i="1"/>
  <c r="F1228" i="1"/>
  <c r="E1228" i="1"/>
  <c r="D1228" i="1"/>
  <c r="B1228" i="1"/>
  <c r="A1228" i="1"/>
  <c r="G1227" i="1"/>
  <c r="F1227" i="1"/>
  <c r="E1227" i="1"/>
  <c r="D1227" i="1"/>
  <c r="B1227" i="1"/>
  <c r="A1227" i="1"/>
  <c r="G1226" i="1"/>
  <c r="F1226" i="1"/>
  <c r="E1226" i="1"/>
  <c r="D1226" i="1"/>
  <c r="B1226" i="1"/>
  <c r="A1226" i="1"/>
  <c r="G1225" i="1"/>
  <c r="F1225" i="1"/>
  <c r="E1225" i="1"/>
  <c r="D1225" i="1"/>
  <c r="B1225" i="1"/>
  <c r="A1225" i="1"/>
  <c r="G1224" i="1"/>
  <c r="F1224" i="1"/>
  <c r="E1224" i="1"/>
  <c r="D1224" i="1"/>
  <c r="B1224" i="1"/>
  <c r="A1224" i="1"/>
  <c r="G1223" i="1"/>
  <c r="F1223" i="1"/>
  <c r="E1223" i="1"/>
  <c r="D1223" i="1"/>
  <c r="B1223" i="1"/>
  <c r="A1223" i="1"/>
  <c r="G1222" i="1"/>
  <c r="F1222" i="1"/>
  <c r="E1222" i="1"/>
  <c r="D1222" i="1"/>
  <c r="B1222" i="1"/>
  <c r="A1222" i="1"/>
  <c r="G1221" i="1"/>
  <c r="F1221" i="1"/>
  <c r="E1221" i="1"/>
  <c r="D1221" i="1"/>
  <c r="B1221" i="1"/>
  <c r="A1221" i="1"/>
  <c r="G1220" i="1"/>
  <c r="F1220" i="1"/>
  <c r="E1220" i="1"/>
  <c r="D1220" i="1"/>
  <c r="B1220" i="1"/>
  <c r="A1220" i="1"/>
  <c r="G1219" i="1"/>
  <c r="F1219" i="1"/>
  <c r="E1219" i="1"/>
  <c r="D1219" i="1"/>
  <c r="B1219" i="1"/>
  <c r="A1219" i="1"/>
  <c r="G1218" i="1"/>
  <c r="F1218" i="1"/>
  <c r="E1218" i="1"/>
  <c r="D1218" i="1"/>
  <c r="B1218" i="1"/>
  <c r="A1218" i="1"/>
  <c r="G1217" i="1"/>
  <c r="F1217" i="1"/>
  <c r="E1217" i="1"/>
  <c r="D1217" i="1"/>
  <c r="B1217" i="1"/>
  <c r="A1217" i="1"/>
  <c r="G1216" i="1"/>
  <c r="F1216" i="1"/>
  <c r="E1216" i="1"/>
  <c r="D1216" i="1"/>
  <c r="B1216" i="1"/>
  <c r="A1216" i="1"/>
  <c r="G1215" i="1"/>
  <c r="F1215" i="1"/>
  <c r="E1215" i="1"/>
  <c r="D1215" i="1"/>
  <c r="B1215" i="1"/>
  <c r="A1215" i="1"/>
  <c r="G1214" i="1"/>
  <c r="F1214" i="1"/>
  <c r="E1214" i="1"/>
  <c r="D1214" i="1"/>
  <c r="B1214" i="1"/>
  <c r="A1214" i="1"/>
  <c r="G1213" i="1"/>
  <c r="F1213" i="1"/>
  <c r="E1213" i="1"/>
  <c r="D1213" i="1"/>
  <c r="B1213" i="1"/>
  <c r="A1213" i="1"/>
  <c r="G1212" i="1"/>
  <c r="F1212" i="1"/>
  <c r="E1212" i="1"/>
  <c r="D1212" i="1"/>
  <c r="B1212" i="1"/>
  <c r="A1212" i="1"/>
  <c r="G1211" i="1"/>
  <c r="F1211" i="1"/>
  <c r="E1211" i="1"/>
  <c r="D1211" i="1"/>
  <c r="B1211" i="1"/>
  <c r="A1211" i="1"/>
  <c r="G1210" i="1"/>
  <c r="F1210" i="1"/>
  <c r="E1210" i="1"/>
  <c r="D1210" i="1"/>
  <c r="B1210" i="1"/>
  <c r="A1210" i="1"/>
  <c r="G1209" i="1"/>
  <c r="F1209" i="1"/>
  <c r="E1209" i="1"/>
  <c r="D1209" i="1"/>
  <c r="B1209" i="1"/>
  <c r="A1209" i="1"/>
  <c r="G1208" i="1"/>
  <c r="F1208" i="1"/>
  <c r="E1208" i="1"/>
  <c r="D1208" i="1"/>
  <c r="B1208" i="1"/>
  <c r="A1208" i="1"/>
  <c r="G1207" i="1"/>
  <c r="F1207" i="1"/>
  <c r="E1207" i="1"/>
  <c r="D1207" i="1"/>
  <c r="B1207" i="1"/>
  <c r="A1207" i="1"/>
  <c r="G1206" i="1"/>
  <c r="F1206" i="1"/>
  <c r="E1206" i="1"/>
  <c r="D1206" i="1"/>
  <c r="B1206" i="1"/>
  <c r="A1206" i="1"/>
  <c r="G1205" i="1"/>
  <c r="F1205" i="1"/>
  <c r="E1205" i="1"/>
  <c r="D1205" i="1"/>
  <c r="B1205" i="1"/>
  <c r="A1205" i="1"/>
  <c r="G1204" i="1"/>
  <c r="F1204" i="1"/>
  <c r="E1204" i="1"/>
  <c r="D1204" i="1"/>
  <c r="B1204" i="1"/>
  <c r="A1204" i="1"/>
  <c r="G1203" i="1"/>
  <c r="F1203" i="1"/>
  <c r="E1203" i="1"/>
  <c r="D1203" i="1"/>
  <c r="B1203" i="1"/>
  <c r="A1203" i="1"/>
  <c r="G1202" i="1"/>
  <c r="F1202" i="1"/>
  <c r="E1202" i="1"/>
  <c r="D1202" i="1"/>
  <c r="B1202" i="1"/>
  <c r="A1202" i="1"/>
  <c r="G1201" i="1"/>
  <c r="F1201" i="1"/>
  <c r="E1201" i="1"/>
  <c r="D1201" i="1"/>
  <c r="B1201" i="1"/>
  <c r="A1201" i="1"/>
  <c r="G1200" i="1"/>
  <c r="F1200" i="1"/>
  <c r="E1200" i="1"/>
  <c r="D1200" i="1"/>
  <c r="B1200" i="1"/>
  <c r="A1200" i="1"/>
  <c r="G1199" i="1"/>
  <c r="F1199" i="1"/>
  <c r="E1199" i="1"/>
  <c r="D1199" i="1"/>
  <c r="B1199" i="1"/>
  <c r="A1199" i="1"/>
  <c r="G1198" i="1"/>
  <c r="F1198" i="1"/>
  <c r="E1198" i="1"/>
  <c r="D1198" i="1"/>
  <c r="B1198" i="1"/>
  <c r="A1198" i="1"/>
  <c r="G1197" i="1"/>
  <c r="F1197" i="1"/>
  <c r="E1197" i="1"/>
  <c r="D1197" i="1"/>
  <c r="B1197" i="1"/>
  <c r="A1197" i="1"/>
  <c r="G1196" i="1"/>
  <c r="F1196" i="1"/>
  <c r="E1196" i="1"/>
  <c r="D1196" i="1"/>
  <c r="B1196" i="1"/>
  <c r="A1196" i="1"/>
  <c r="G1195" i="1"/>
  <c r="F1195" i="1"/>
  <c r="E1195" i="1"/>
  <c r="D1195" i="1"/>
  <c r="B1195" i="1"/>
  <c r="A1195" i="1"/>
  <c r="G1194" i="1"/>
  <c r="F1194" i="1"/>
  <c r="E1194" i="1"/>
  <c r="D1194" i="1"/>
  <c r="B1194" i="1"/>
  <c r="A1194" i="1"/>
  <c r="G1193" i="1"/>
  <c r="F1193" i="1"/>
  <c r="E1193" i="1"/>
  <c r="D1193" i="1"/>
  <c r="B1193" i="1"/>
  <c r="A1193" i="1"/>
  <c r="G1192" i="1"/>
  <c r="F1192" i="1"/>
  <c r="E1192" i="1"/>
  <c r="D1192" i="1"/>
  <c r="B1192" i="1"/>
  <c r="A1192" i="1"/>
  <c r="G1191" i="1"/>
  <c r="F1191" i="1"/>
  <c r="E1191" i="1"/>
  <c r="D1191" i="1"/>
  <c r="B1191" i="1"/>
  <c r="A1191" i="1"/>
  <c r="G1190" i="1"/>
  <c r="F1190" i="1"/>
  <c r="E1190" i="1"/>
  <c r="D1190" i="1"/>
  <c r="B1190" i="1"/>
  <c r="A1190" i="1"/>
  <c r="G1189" i="1"/>
  <c r="F1189" i="1"/>
  <c r="E1189" i="1"/>
  <c r="D1189" i="1"/>
  <c r="B1189" i="1"/>
  <c r="A1189" i="1"/>
  <c r="G1188" i="1"/>
  <c r="F1188" i="1"/>
  <c r="E1188" i="1"/>
  <c r="D1188" i="1"/>
  <c r="B1188" i="1"/>
  <c r="A1188" i="1"/>
  <c r="G1187" i="1"/>
  <c r="F1187" i="1"/>
  <c r="E1187" i="1"/>
  <c r="D1187" i="1"/>
  <c r="B1187" i="1"/>
  <c r="A1187" i="1"/>
  <c r="G1186" i="1"/>
  <c r="F1186" i="1"/>
  <c r="E1186" i="1"/>
  <c r="D1186" i="1"/>
  <c r="B1186" i="1"/>
  <c r="A1186" i="1"/>
  <c r="G1185" i="1"/>
  <c r="F1185" i="1"/>
  <c r="E1185" i="1"/>
  <c r="D1185" i="1"/>
  <c r="B1185" i="1"/>
  <c r="A1185" i="1"/>
  <c r="G1184" i="1"/>
  <c r="F1184" i="1"/>
  <c r="E1184" i="1"/>
  <c r="D1184" i="1"/>
  <c r="B1184" i="1"/>
  <c r="A1184" i="1"/>
  <c r="G1183" i="1"/>
  <c r="F1183" i="1"/>
  <c r="E1183" i="1"/>
  <c r="D1183" i="1"/>
  <c r="B1183" i="1"/>
  <c r="A1183" i="1"/>
  <c r="G1182" i="1"/>
  <c r="F1182" i="1"/>
  <c r="E1182" i="1"/>
  <c r="D1182" i="1"/>
  <c r="B1182" i="1"/>
  <c r="A1182" i="1"/>
  <c r="G1181" i="1"/>
  <c r="F1181" i="1"/>
  <c r="E1181" i="1"/>
  <c r="D1181" i="1"/>
  <c r="B1181" i="1"/>
  <c r="A1181" i="1"/>
  <c r="G1180" i="1"/>
  <c r="F1180" i="1"/>
  <c r="E1180" i="1"/>
  <c r="D1180" i="1"/>
  <c r="B1180" i="1"/>
  <c r="A1180" i="1"/>
  <c r="G1179" i="1"/>
  <c r="F1179" i="1"/>
  <c r="E1179" i="1"/>
  <c r="D1179" i="1"/>
  <c r="B1179" i="1"/>
  <c r="A1179" i="1"/>
  <c r="G1178" i="1"/>
  <c r="F1178" i="1"/>
  <c r="E1178" i="1"/>
  <c r="D1178" i="1"/>
  <c r="B1178" i="1"/>
  <c r="A1178" i="1"/>
  <c r="G1177" i="1"/>
  <c r="F1177" i="1"/>
  <c r="E1177" i="1"/>
  <c r="D1177" i="1"/>
  <c r="B1177" i="1"/>
  <c r="A1177" i="1"/>
  <c r="G1176" i="1"/>
  <c r="F1176" i="1"/>
  <c r="E1176" i="1"/>
  <c r="D1176" i="1"/>
  <c r="B1176" i="1"/>
  <c r="A1176" i="1"/>
  <c r="G1175" i="1"/>
  <c r="F1175" i="1"/>
  <c r="E1175" i="1"/>
  <c r="D1175" i="1"/>
  <c r="B1175" i="1"/>
  <c r="A1175" i="1"/>
  <c r="G1174" i="1"/>
  <c r="F1174" i="1"/>
  <c r="E1174" i="1"/>
  <c r="D1174" i="1"/>
  <c r="B1174" i="1"/>
  <c r="A1174" i="1"/>
  <c r="G1173" i="1"/>
  <c r="F1173" i="1"/>
  <c r="E1173" i="1"/>
  <c r="D1173" i="1"/>
  <c r="B1173" i="1"/>
  <c r="A1173" i="1"/>
  <c r="G1172" i="1"/>
  <c r="F1172" i="1"/>
  <c r="E1172" i="1"/>
  <c r="D1172" i="1"/>
  <c r="B1172" i="1"/>
  <c r="A1172" i="1"/>
  <c r="G1171" i="1"/>
  <c r="F1171" i="1"/>
  <c r="E1171" i="1"/>
  <c r="D1171" i="1"/>
  <c r="B1171" i="1"/>
  <c r="A1171" i="1"/>
  <c r="G1170" i="1"/>
  <c r="F1170" i="1"/>
  <c r="E1170" i="1"/>
  <c r="D1170" i="1"/>
  <c r="B1170" i="1"/>
  <c r="A1170" i="1"/>
  <c r="G1169" i="1"/>
  <c r="F1169" i="1"/>
  <c r="E1169" i="1"/>
  <c r="D1169" i="1"/>
  <c r="B1169" i="1"/>
  <c r="A1169" i="1"/>
  <c r="G1168" i="1"/>
  <c r="F1168" i="1"/>
  <c r="E1168" i="1"/>
  <c r="D1168" i="1"/>
  <c r="B1168" i="1"/>
  <c r="A1168" i="1"/>
  <c r="G1167" i="1"/>
  <c r="F1167" i="1"/>
  <c r="E1167" i="1"/>
  <c r="D1167" i="1"/>
  <c r="B1167" i="1"/>
  <c r="A1167" i="1"/>
  <c r="G1166" i="1"/>
  <c r="F1166" i="1"/>
  <c r="E1166" i="1"/>
  <c r="D1166" i="1"/>
  <c r="B1166" i="1"/>
  <c r="A1166" i="1"/>
  <c r="G1165" i="1"/>
  <c r="F1165" i="1"/>
  <c r="E1165" i="1"/>
  <c r="D1165" i="1"/>
  <c r="B1165" i="1"/>
  <c r="A1165" i="1"/>
  <c r="G1164" i="1"/>
  <c r="F1164" i="1"/>
  <c r="E1164" i="1"/>
  <c r="D1164" i="1"/>
  <c r="B1164" i="1"/>
  <c r="A1164" i="1"/>
  <c r="G1163" i="1"/>
  <c r="F1163" i="1"/>
  <c r="E1163" i="1"/>
  <c r="D1163" i="1"/>
  <c r="B1163" i="1"/>
  <c r="A1163" i="1"/>
  <c r="G1162" i="1"/>
  <c r="F1162" i="1"/>
  <c r="E1162" i="1"/>
  <c r="D1162" i="1"/>
  <c r="B1162" i="1"/>
  <c r="A1162" i="1"/>
  <c r="G1161" i="1"/>
  <c r="F1161" i="1"/>
  <c r="E1161" i="1"/>
  <c r="D1161" i="1"/>
  <c r="B1161" i="1"/>
  <c r="A1161" i="1"/>
  <c r="G1160" i="1"/>
  <c r="F1160" i="1"/>
  <c r="E1160" i="1"/>
  <c r="D1160" i="1"/>
  <c r="B1160" i="1"/>
  <c r="A1160" i="1"/>
  <c r="G1159" i="1"/>
  <c r="F1159" i="1"/>
  <c r="E1159" i="1"/>
  <c r="D1159" i="1"/>
  <c r="B1159" i="1"/>
  <c r="A1159" i="1"/>
  <c r="G1158" i="1"/>
  <c r="F1158" i="1"/>
  <c r="E1158" i="1"/>
  <c r="D1158" i="1"/>
  <c r="B1158" i="1"/>
  <c r="A1158" i="1"/>
  <c r="G1157" i="1"/>
  <c r="F1157" i="1"/>
  <c r="E1157" i="1"/>
  <c r="D1157" i="1"/>
  <c r="B1157" i="1"/>
  <c r="A1157" i="1"/>
  <c r="G1156" i="1"/>
  <c r="F1156" i="1"/>
  <c r="E1156" i="1"/>
  <c r="D1156" i="1"/>
  <c r="B1156" i="1"/>
  <c r="A1156" i="1"/>
  <c r="G1155" i="1"/>
  <c r="F1155" i="1"/>
  <c r="E1155" i="1"/>
  <c r="D1155" i="1"/>
  <c r="B1155" i="1"/>
  <c r="A1155" i="1"/>
  <c r="G1154" i="1"/>
  <c r="F1154" i="1"/>
  <c r="E1154" i="1"/>
  <c r="D1154" i="1"/>
  <c r="B1154" i="1"/>
  <c r="A1154" i="1"/>
  <c r="G1153" i="1"/>
  <c r="F1153" i="1"/>
  <c r="E1153" i="1"/>
  <c r="D1153" i="1"/>
  <c r="B1153" i="1"/>
  <c r="A1153" i="1"/>
  <c r="G1152" i="1"/>
  <c r="F1152" i="1"/>
  <c r="E1152" i="1"/>
  <c r="D1152" i="1"/>
  <c r="B1152" i="1"/>
  <c r="A1152" i="1"/>
  <c r="G1151" i="1"/>
  <c r="F1151" i="1"/>
  <c r="E1151" i="1"/>
  <c r="D1151" i="1"/>
  <c r="B1151" i="1"/>
  <c r="A1151" i="1"/>
  <c r="G1150" i="1"/>
  <c r="F1150" i="1"/>
  <c r="E1150" i="1"/>
  <c r="D1150" i="1"/>
  <c r="B1150" i="1"/>
  <c r="A1150" i="1"/>
  <c r="G1149" i="1"/>
  <c r="F1149" i="1"/>
  <c r="E1149" i="1"/>
  <c r="D1149" i="1"/>
  <c r="B1149" i="1"/>
  <c r="A1149" i="1"/>
  <c r="G1148" i="1"/>
  <c r="F1148" i="1"/>
  <c r="E1148" i="1"/>
  <c r="D1148" i="1"/>
  <c r="B1148" i="1"/>
  <c r="A1148" i="1"/>
  <c r="G1147" i="1"/>
  <c r="F1147" i="1"/>
  <c r="E1147" i="1"/>
  <c r="D1147" i="1"/>
  <c r="B1147" i="1"/>
  <c r="A1147" i="1"/>
  <c r="G1146" i="1"/>
  <c r="F1146" i="1"/>
  <c r="E1146" i="1"/>
  <c r="D1146" i="1"/>
  <c r="B1146" i="1"/>
  <c r="A1146" i="1"/>
  <c r="G1145" i="1"/>
  <c r="F1145" i="1"/>
  <c r="E1145" i="1"/>
  <c r="D1145" i="1"/>
  <c r="B1145" i="1"/>
  <c r="A1145" i="1"/>
  <c r="G1144" i="1"/>
  <c r="F1144" i="1"/>
  <c r="E1144" i="1"/>
  <c r="D1144" i="1"/>
  <c r="B1144" i="1"/>
  <c r="A1144" i="1"/>
  <c r="G1143" i="1"/>
  <c r="F1143" i="1"/>
  <c r="E1143" i="1"/>
  <c r="D1143" i="1"/>
  <c r="B1143" i="1"/>
  <c r="A1143" i="1"/>
  <c r="G1142" i="1"/>
  <c r="F1142" i="1"/>
  <c r="E1142" i="1"/>
  <c r="D1142" i="1"/>
  <c r="B1142" i="1"/>
  <c r="A1142" i="1"/>
  <c r="G1141" i="1"/>
  <c r="F1141" i="1"/>
  <c r="E1141" i="1"/>
  <c r="D1141" i="1"/>
  <c r="B1141" i="1"/>
  <c r="A1141" i="1"/>
  <c r="G1140" i="1"/>
  <c r="F1140" i="1"/>
  <c r="E1140" i="1"/>
  <c r="D1140" i="1"/>
  <c r="B1140" i="1"/>
  <c r="A1140" i="1"/>
  <c r="G1139" i="1"/>
  <c r="F1139" i="1"/>
  <c r="E1139" i="1"/>
  <c r="D1139" i="1"/>
  <c r="B1139" i="1"/>
  <c r="A1139" i="1"/>
  <c r="G1138" i="1"/>
  <c r="F1138" i="1"/>
  <c r="E1138" i="1"/>
  <c r="D1138" i="1"/>
  <c r="B1138" i="1"/>
  <c r="A1138" i="1"/>
  <c r="G1137" i="1"/>
  <c r="F1137" i="1"/>
  <c r="E1137" i="1"/>
  <c r="D1137" i="1"/>
  <c r="B1137" i="1"/>
  <c r="A1137" i="1"/>
  <c r="G1136" i="1"/>
  <c r="F1136" i="1"/>
  <c r="E1136" i="1"/>
  <c r="D1136" i="1"/>
  <c r="B1136" i="1"/>
  <c r="A1136" i="1"/>
  <c r="G1135" i="1"/>
  <c r="F1135" i="1"/>
  <c r="E1135" i="1"/>
  <c r="D1135" i="1"/>
  <c r="B1135" i="1"/>
  <c r="A1135" i="1"/>
  <c r="G1134" i="1"/>
  <c r="F1134" i="1"/>
  <c r="E1134" i="1"/>
  <c r="D1134" i="1"/>
  <c r="B1134" i="1"/>
  <c r="A1134" i="1"/>
  <c r="G1133" i="1"/>
  <c r="F1133" i="1"/>
  <c r="E1133" i="1"/>
  <c r="D1133" i="1"/>
  <c r="B1133" i="1"/>
  <c r="A1133" i="1"/>
  <c r="G1132" i="1"/>
  <c r="F1132" i="1"/>
  <c r="E1132" i="1"/>
  <c r="D1132" i="1"/>
  <c r="B1132" i="1"/>
  <c r="A1132" i="1"/>
  <c r="G1131" i="1"/>
  <c r="F1131" i="1"/>
  <c r="E1131" i="1"/>
  <c r="D1131" i="1"/>
  <c r="B1131" i="1"/>
  <c r="A1131" i="1"/>
  <c r="G1130" i="1"/>
  <c r="F1130" i="1"/>
  <c r="E1130" i="1"/>
  <c r="D1130" i="1"/>
  <c r="B1130" i="1"/>
  <c r="A1130" i="1"/>
  <c r="G1129" i="1"/>
  <c r="F1129" i="1"/>
  <c r="E1129" i="1"/>
  <c r="D1129" i="1"/>
  <c r="B1129" i="1"/>
  <c r="A1129" i="1"/>
  <c r="G1128" i="1"/>
  <c r="F1128" i="1"/>
  <c r="E1128" i="1"/>
  <c r="D1128" i="1"/>
  <c r="B1128" i="1"/>
  <c r="A1128" i="1"/>
  <c r="G1127" i="1"/>
  <c r="F1127" i="1"/>
  <c r="E1127" i="1"/>
  <c r="D1127" i="1"/>
  <c r="B1127" i="1"/>
  <c r="A1127" i="1"/>
  <c r="G1126" i="1"/>
  <c r="F1126" i="1"/>
  <c r="E1126" i="1"/>
  <c r="D1126" i="1"/>
  <c r="B1126" i="1"/>
  <c r="A1126" i="1"/>
  <c r="G1125" i="1"/>
  <c r="F1125" i="1"/>
  <c r="E1125" i="1"/>
  <c r="D1125" i="1"/>
  <c r="B1125" i="1"/>
  <c r="A1125" i="1"/>
  <c r="G1124" i="1"/>
  <c r="F1124" i="1"/>
  <c r="E1124" i="1"/>
  <c r="D1124" i="1"/>
  <c r="B1124" i="1"/>
  <c r="A1124" i="1"/>
  <c r="G1123" i="1"/>
  <c r="F1123" i="1"/>
  <c r="E1123" i="1"/>
  <c r="D1123" i="1"/>
  <c r="B1123" i="1"/>
  <c r="A1123" i="1"/>
  <c r="G1122" i="1"/>
  <c r="F1122" i="1"/>
  <c r="E1122" i="1"/>
  <c r="D1122" i="1"/>
  <c r="B1122" i="1"/>
  <c r="A1122" i="1"/>
  <c r="G1121" i="1"/>
  <c r="F1121" i="1"/>
  <c r="E1121" i="1"/>
  <c r="D1121" i="1"/>
  <c r="B1121" i="1"/>
  <c r="A1121" i="1"/>
  <c r="G1120" i="1"/>
  <c r="F1120" i="1"/>
  <c r="E1120" i="1"/>
  <c r="D1120" i="1"/>
  <c r="B1120" i="1"/>
  <c r="A1120" i="1"/>
  <c r="G1119" i="1"/>
  <c r="F1119" i="1"/>
  <c r="E1119" i="1"/>
  <c r="D1119" i="1"/>
  <c r="B1119" i="1"/>
  <c r="A1119" i="1"/>
  <c r="G1118" i="1"/>
  <c r="F1118" i="1"/>
  <c r="E1118" i="1"/>
  <c r="D1118" i="1"/>
  <c r="B1118" i="1"/>
  <c r="A1118" i="1"/>
  <c r="G1117" i="1"/>
  <c r="F1117" i="1"/>
  <c r="E1117" i="1"/>
  <c r="D1117" i="1"/>
  <c r="B1117" i="1"/>
  <c r="A1117" i="1"/>
  <c r="G1116" i="1"/>
  <c r="F1116" i="1"/>
  <c r="E1116" i="1"/>
  <c r="D1116" i="1"/>
  <c r="B1116" i="1"/>
  <c r="A1116" i="1"/>
  <c r="G1115" i="1"/>
  <c r="F1115" i="1"/>
  <c r="E1115" i="1"/>
  <c r="D1115" i="1"/>
  <c r="B1115" i="1"/>
  <c r="A1115" i="1"/>
  <c r="G1114" i="1"/>
  <c r="F1114" i="1"/>
  <c r="E1114" i="1"/>
  <c r="D1114" i="1"/>
  <c r="B1114" i="1"/>
  <c r="A1114" i="1"/>
  <c r="G1113" i="1"/>
  <c r="F1113" i="1"/>
  <c r="E1113" i="1"/>
  <c r="D1113" i="1"/>
  <c r="B1113" i="1"/>
  <c r="A1113" i="1"/>
  <c r="G1112" i="1"/>
  <c r="F1112" i="1"/>
  <c r="E1112" i="1"/>
  <c r="D1112" i="1"/>
  <c r="B1112" i="1"/>
  <c r="A1112" i="1"/>
  <c r="G1111" i="1"/>
  <c r="F1111" i="1"/>
  <c r="E1111" i="1"/>
  <c r="D1111" i="1"/>
  <c r="B1111" i="1"/>
  <c r="A1111" i="1"/>
  <c r="G1110" i="1"/>
  <c r="F1110" i="1"/>
  <c r="E1110" i="1"/>
  <c r="D1110" i="1"/>
  <c r="B1110" i="1"/>
  <c r="A1110" i="1"/>
  <c r="G1109" i="1"/>
  <c r="F1109" i="1"/>
  <c r="E1109" i="1"/>
  <c r="D1109" i="1"/>
  <c r="B1109" i="1"/>
  <c r="A1109" i="1"/>
  <c r="G1108" i="1"/>
  <c r="F1108" i="1"/>
  <c r="E1108" i="1"/>
  <c r="D1108" i="1"/>
  <c r="B1108" i="1"/>
  <c r="A1108" i="1"/>
  <c r="G1107" i="1"/>
  <c r="F1107" i="1"/>
  <c r="E1107" i="1"/>
  <c r="D1107" i="1"/>
  <c r="B1107" i="1"/>
  <c r="A1107" i="1"/>
  <c r="G1106" i="1"/>
  <c r="F1106" i="1"/>
  <c r="E1106" i="1"/>
  <c r="D1106" i="1"/>
  <c r="B1106" i="1"/>
  <c r="A1106" i="1"/>
  <c r="G1105" i="1"/>
  <c r="F1105" i="1"/>
  <c r="E1105" i="1"/>
  <c r="D1105" i="1"/>
  <c r="B1105" i="1"/>
  <c r="A1105" i="1"/>
  <c r="G1104" i="1"/>
  <c r="F1104" i="1"/>
  <c r="E1104" i="1"/>
  <c r="D1104" i="1"/>
  <c r="B1104" i="1"/>
  <c r="A1104" i="1"/>
  <c r="G1103" i="1"/>
  <c r="F1103" i="1"/>
  <c r="E1103" i="1"/>
  <c r="D1103" i="1"/>
  <c r="B1103" i="1"/>
  <c r="A1103" i="1"/>
  <c r="G1102" i="1"/>
  <c r="F1102" i="1"/>
  <c r="E1102" i="1"/>
  <c r="D1102" i="1"/>
  <c r="B1102" i="1"/>
  <c r="A1102" i="1"/>
  <c r="G1101" i="1"/>
  <c r="F1101" i="1"/>
  <c r="E1101" i="1"/>
  <c r="D1101" i="1"/>
  <c r="B1101" i="1"/>
  <c r="A1101" i="1"/>
  <c r="G1100" i="1"/>
  <c r="F1100" i="1"/>
  <c r="E1100" i="1"/>
  <c r="D1100" i="1"/>
  <c r="B1100" i="1"/>
  <c r="A1100" i="1"/>
  <c r="G1099" i="1"/>
  <c r="F1099" i="1"/>
  <c r="E1099" i="1"/>
  <c r="D1099" i="1"/>
  <c r="B1099" i="1"/>
  <c r="A1099" i="1"/>
  <c r="G1098" i="1"/>
  <c r="F1098" i="1"/>
  <c r="E1098" i="1"/>
  <c r="D1098" i="1"/>
  <c r="B1098" i="1"/>
  <c r="A1098" i="1"/>
  <c r="G1097" i="1"/>
  <c r="F1097" i="1"/>
  <c r="E1097" i="1"/>
  <c r="D1097" i="1"/>
  <c r="B1097" i="1"/>
  <c r="A1097" i="1"/>
  <c r="G1096" i="1"/>
  <c r="F1096" i="1"/>
  <c r="E1096" i="1"/>
  <c r="D1096" i="1"/>
  <c r="B1096" i="1"/>
  <c r="A1096" i="1"/>
  <c r="G1095" i="1"/>
  <c r="F1095" i="1"/>
  <c r="E1095" i="1"/>
  <c r="D1095" i="1"/>
  <c r="B1095" i="1"/>
  <c r="A1095" i="1"/>
  <c r="G1094" i="1"/>
  <c r="F1094" i="1"/>
  <c r="E1094" i="1"/>
  <c r="D1094" i="1"/>
  <c r="B1094" i="1"/>
  <c r="A1094" i="1"/>
  <c r="G1093" i="1"/>
  <c r="F1093" i="1"/>
  <c r="E1093" i="1"/>
  <c r="D1093" i="1"/>
  <c r="B1093" i="1"/>
  <c r="A1093" i="1"/>
  <c r="G1092" i="1"/>
  <c r="F1092" i="1"/>
  <c r="E1092" i="1"/>
  <c r="D1092" i="1"/>
  <c r="B1092" i="1"/>
  <c r="A1092" i="1"/>
  <c r="G1091" i="1"/>
  <c r="F1091" i="1"/>
  <c r="E1091" i="1"/>
  <c r="D1091" i="1"/>
  <c r="B1091" i="1"/>
  <c r="A1091" i="1"/>
  <c r="G1090" i="1"/>
  <c r="F1090" i="1"/>
  <c r="E1090" i="1"/>
  <c r="D1090" i="1"/>
  <c r="B1090" i="1"/>
  <c r="A1090" i="1"/>
  <c r="G1089" i="1"/>
  <c r="F1089" i="1"/>
  <c r="E1089" i="1"/>
  <c r="D1089" i="1"/>
  <c r="B1089" i="1"/>
  <c r="A1089" i="1"/>
  <c r="G1088" i="1"/>
  <c r="F1088" i="1"/>
  <c r="E1088" i="1"/>
  <c r="D1088" i="1"/>
  <c r="B1088" i="1"/>
  <c r="A1088" i="1"/>
  <c r="G1087" i="1"/>
  <c r="F1087" i="1"/>
  <c r="E1087" i="1"/>
  <c r="D1087" i="1"/>
  <c r="B1087" i="1"/>
  <c r="A1087" i="1"/>
  <c r="G1086" i="1"/>
  <c r="F1086" i="1"/>
  <c r="E1086" i="1"/>
  <c r="D1086" i="1"/>
  <c r="B1086" i="1"/>
  <c r="A1086" i="1"/>
  <c r="G1085" i="1"/>
  <c r="F1085" i="1"/>
  <c r="E1085" i="1"/>
  <c r="D1085" i="1"/>
  <c r="B1085" i="1"/>
  <c r="A1085" i="1"/>
  <c r="G1084" i="1"/>
  <c r="F1084" i="1"/>
  <c r="E1084" i="1"/>
  <c r="D1084" i="1"/>
  <c r="B1084" i="1"/>
  <c r="A1084" i="1"/>
  <c r="G1083" i="1"/>
  <c r="F1083" i="1"/>
  <c r="E1083" i="1"/>
  <c r="D1083" i="1"/>
  <c r="B1083" i="1"/>
  <c r="A1083" i="1"/>
  <c r="G1082" i="1"/>
  <c r="F1082" i="1"/>
  <c r="E1082" i="1"/>
  <c r="D1082" i="1"/>
  <c r="B1082" i="1"/>
  <c r="A1082" i="1"/>
  <c r="G1081" i="1"/>
  <c r="F1081" i="1"/>
  <c r="E1081" i="1"/>
  <c r="D1081" i="1"/>
  <c r="B1081" i="1"/>
  <c r="A1081" i="1"/>
  <c r="G1080" i="1"/>
  <c r="F1080" i="1"/>
  <c r="E1080" i="1"/>
  <c r="D1080" i="1"/>
  <c r="B1080" i="1"/>
  <c r="A1080" i="1"/>
  <c r="G1079" i="1"/>
  <c r="F1079" i="1"/>
  <c r="E1079" i="1"/>
  <c r="D1079" i="1"/>
  <c r="B1079" i="1"/>
  <c r="A1079" i="1"/>
  <c r="G1078" i="1"/>
  <c r="F1078" i="1"/>
  <c r="E1078" i="1"/>
  <c r="D1078" i="1"/>
  <c r="B1078" i="1"/>
  <c r="A1078" i="1"/>
  <c r="G1077" i="1"/>
  <c r="F1077" i="1"/>
  <c r="E1077" i="1"/>
  <c r="D1077" i="1"/>
  <c r="B1077" i="1"/>
  <c r="A1077" i="1"/>
  <c r="G1076" i="1"/>
  <c r="F1076" i="1"/>
  <c r="E1076" i="1"/>
  <c r="D1076" i="1"/>
  <c r="B1076" i="1"/>
  <c r="A1076" i="1"/>
  <c r="G1075" i="1"/>
  <c r="F1075" i="1"/>
  <c r="E1075" i="1"/>
  <c r="D1075" i="1"/>
  <c r="B1075" i="1"/>
  <c r="A1075" i="1"/>
  <c r="G1074" i="1"/>
  <c r="F1074" i="1"/>
  <c r="E1074" i="1"/>
  <c r="D1074" i="1"/>
  <c r="B1074" i="1"/>
  <c r="A1074" i="1"/>
  <c r="G1073" i="1"/>
  <c r="F1073" i="1"/>
  <c r="E1073" i="1"/>
  <c r="D1073" i="1"/>
  <c r="B1073" i="1"/>
  <c r="A1073" i="1"/>
  <c r="G1072" i="1"/>
  <c r="F1072" i="1"/>
  <c r="E1072" i="1"/>
  <c r="D1072" i="1"/>
  <c r="B1072" i="1"/>
  <c r="A1072" i="1"/>
  <c r="G1071" i="1"/>
  <c r="F1071" i="1"/>
  <c r="E1071" i="1"/>
  <c r="D1071" i="1"/>
  <c r="B1071" i="1"/>
  <c r="A1071" i="1"/>
  <c r="G1070" i="1"/>
  <c r="F1070" i="1"/>
  <c r="E1070" i="1"/>
  <c r="D1070" i="1"/>
  <c r="B1070" i="1"/>
  <c r="A1070" i="1"/>
  <c r="G1069" i="1"/>
  <c r="F1069" i="1"/>
  <c r="E1069" i="1"/>
  <c r="D1069" i="1"/>
  <c r="B1069" i="1"/>
  <c r="A1069" i="1"/>
  <c r="G1068" i="1"/>
  <c r="F1068" i="1"/>
  <c r="E1068" i="1"/>
  <c r="D1068" i="1"/>
  <c r="B1068" i="1"/>
  <c r="A1068" i="1"/>
  <c r="G1067" i="1"/>
  <c r="F1067" i="1"/>
  <c r="E1067" i="1"/>
  <c r="D1067" i="1"/>
  <c r="B1067" i="1"/>
  <c r="A1067" i="1"/>
  <c r="G1066" i="1"/>
  <c r="F1066" i="1"/>
  <c r="E1066" i="1"/>
  <c r="D1066" i="1"/>
  <c r="B1066" i="1"/>
  <c r="A1066" i="1"/>
  <c r="G1065" i="1"/>
  <c r="F1065" i="1"/>
  <c r="E1065" i="1"/>
  <c r="D1065" i="1"/>
  <c r="B1065" i="1"/>
  <c r="A1065" i="1"/>
  <c r="G1064" i="1"/>
  <c r="F1064" i="1"/>
  <c r="E1064" i="1"/>
  <c r="D1064" i="1"/>
  <c r="B1064" i="1"/>
  <c r="A1064" i="1"/>
  <c r="G1063" i="1"/>
  <c r="F1063" i="1"/>
  <c r="E1063" i="1"/>
  <c r="D1063" i="1"/>
  <c r="B1063" i="1"/>
  <c r="A1063" i="1"/>
  <c r="G1062" i="1"/>
  <c r="F1062" i="1"/>
  <c r="E1062" i="1"/>
  <c r="D1062" i="1"/>
  <c r="B1062" i="1"/>
  <c r="A1062" i="1"/>
  <c r="G1061" i="1"/>
  <c r="F1061" i="1"/>
  <c r="E1061" i="1"/>
  <c r="D1061" i="1"/>
  <c r="B1061" i="1"/>
  <c r="A1061" i="1"/>
  <c r="G1060" i="1"/>
  <c r="F1060" i="1"/>
  <c r="E1060" i="1"/>
  <c r="D1060" i="1"/>
  <c r="B1060" i="1"/>
  <c r="A1060" i="1"/>
  <c r="G1059" i="1"/>
  <c r="F1059" i="1"/>
  <c r="E1059" i="1"/>
  <c r="D1059" i="1"/>
  <c r="B1059" i="1"/>
  <c r="A1059" i="1"/>
  <c r="G1058" i="1"/>
  <c r="F1058" i="1"/>
  <c r="E1058" i="1"/>
  <c r="D1058" i="1"/>
  <c r="B1058" i="1"/>
  <c r="A1058" i="1"/>
  <c r="G1057" i="1"/>
  <c r="F1057" i="1"/>
  <c r="E1057" i="1"/>
  <c r="D1057" i="1"/>
  <c r="B1057" i="1"/>
  <c r="A1057" i="1"/>
  <c r="G1056" i="1"/>
  <c r="F1056" i="1"/>
  <c r="E1056" i="1"/>
  <c r="D1056" i="1"/>
  <c r="B1056" i="1"/>
  <c r="A1056" i="1"/>
  <c r="G1055" i="1"/>
  <c r="F1055" i="1"/>
  <c r="E1055" i="1"/>
  <c r="D1055" i="1"/>
  <c r="B1055" i="1"/>
  <c r="A1055" i="1"/>
  <c r="G1054" i="1"/>
  <c r="F1054" i="1"/>
  <c r="E1054" i="1"/>
  <c r="D1054" i="1"/>
  <c r="B1054" i="1"/>
  <c r="A1054" i="1"/>
  <c r="G1053" i="1"/>
  <c r="F1053" i="1"/>
  <c r="E1053" i="1"/>
  <c r="D1053" i="1"/>
  <c r="B1053" i="1"/>
  <c r="A1053" i="1"/>
  <c r="G1052" i="1"/>
  <c r="F1052" i="1"/>
  <c r="E1052" i="1"/>
  <c r="D1052" i="1"/>
  <c r="B1052" i="1"/>
  <c r="A1052" i="1"/>
  <c r="G1051" i="1"/>
  <c r="F1051" i="1"/>
  <c r="E1051" i="1"/>
  <c r="D1051" i="1"/>
  <c r="B1051" i="1"/>
  <c r="A1051" i="1"/>
  <c r="G1050" i="1"/>
  <c r="F1050" i="1"/>
  <c r="E1050" i="1"/>
  <c r="D1050" i="1"/>
  <c r="B1050" i="1"/>
  <c r="A1050" i="1"/>
  <c r="G1049" i="1"/>
  <c r="F1049" i="1"/>
  <c r="E1049" i="1"/>
  <c r="D1049" i="1"/>
  <c r="B1049" i="1"/>
  <c r="A1049" i="1"/>
  <c r="G1048" i="1"/>
  <c r="F1048" i="1"/>
  <c r="E1048" i="1"/>
  <c r="D1048" i="1"/>
  <c r="B1048" i="1"/>
  <c r="A1048" i="1"/>
  <c r="G1047" i="1"/>
  <c r="F1047" i="1"/>
  <c r="E1047" i="1"/>
  <c r="D1047" i="1"/>
  <c r="B1047" i="1"/>
  <c r="A1047" i="1"/>
  <c r="G1046" i="1"/>
  <c r="F1046" i="1"/>
  <c r="E1046" i="1"/>
  <c r="D1046" i="1"/>
  <c r="B1046" i="1"/>
  <c r="A1046" i="1"/>
  <c r="G1045" i="1"/>
  <c r="F1045" i="1"/>
  <c r="E1045" i="1"/>
  <c r="D1045" i="1"/>
  <c r="B1045" i="1"/>
  <c r="A1045" i="1"/>
  <c r="G1044" i="1"/>
  <c r="F1044" i="1"/>
  <c r="E1044" i="1"/>
  <c r="D1044" i="1"/>
  <c r="B1044" i="1"/>
  <c r="A1044" i="1"/>
  <c r="G1043" i="1"/>
  <c r="F1043" i="1"/>
  <c r="E1043" i="1"/>
  <c r="D1043" i="1"/>
  <c r="B1043" i="1"/>
  <c r="A1043" i="1"/>
  <c r="G1042" i="1"/>
  <c r="F1042" i="1"/>
  <c r="E1042" i="1"/>
  <c r="D1042" i="1"/>
  <c r="B1042" i="1"/>
  <c r="A1042" i="1"/>
  <c r="G1041" i="1"/>
  <c r="F1041" i="1"/>
  <c r="E1041" i="1"/>
  <c r="D1041" i="1"/>
  <c r="B1041" i="1"/>
  <c r="A1041" i="1"/>
  <c r="G1040" i="1"/>
  <c r="F1040" i="1"/>
  <c r="E1040" i="1"/>
  <c r="D1040" i="1"/>
  <c r="B1040" i="1"/>
  <c r="A1040" i="1"/>
  <c r="G1039" i="1"/>
  <c r="F1039" i="1"/>
  <c r="E1039" i="1"/>
  <c r="D1039" i="1"/>
  <c r="B1039" i="1"/>
  <c r="A1039" i="1"/>
  <c r="G1038" i="1"/>
  <c r="F1038" i="1"/>
  <c r="E1038" i="1"/>
  <c r="D1038" i="1"/>
  <c r="B1038" i="1"/>
  <c r="A1038" i="1"/>
  <c r="G1037" i="1"/>
  <c r="F1037" i="1"/>
  <c r="E1037" i="1"/>
  <c r="D1037" i="1"/>
  <c r="B1037" i="1"/>
  <c r="A1037" i="1"/>
  <c r="G1036" i="1"/>
  <c r="F1036" i="1"/>
  <c r="E1036" i="1"/>
  <c r="D1036" i="1"/>
  <c r="B1036" i="1"/>
  <c r="A1036" i="1"/>
  <c r="G1035" i="1"/>
  <c r="F1035" i="1"/>
  <c r="E1035" i="1"/>
  <c r="D1035" i="1"/>
  <c r="B1035" i="1"/>
  <c r="A1035" i="1"/>
  <c r="G1034" i="1"/>
  <c r="F1034" i="1"/>
  <c r="E1034" i="1"/>
  <c r="D1034" i="1"/>
  <c r="B1034" i="1"/>
  <c r="A1034" i="1"/>
  <c r="G1033" i="1"/>
  <c r="F1033" i="1"/>
  <c r="E1033" i="1"/>
  <c r="D1033" i="1"/>
  <c r="B1033" i="1"/>
  <c r="A1033" i="1"/>
  <c r="G1032" i="1"/>
  <c r="F1032" i="1"/>
  <c r="E1032" i="1"/>
  <c r="D1032" i="1"/>
  <c r="B1032" i="1"/>
  <c r="A1032" i="1"/>
  <c r="G1031" i="1"/>
  <c r="F1031" i="1"/>
  <c r="E1031" i="1"/>
  <c r="D1031" i="1"/>
  <c r="B1031" i="1"/>
  <c r="A1031" i="1"/>
  <c r="G1030" i="1"/>
  <c r="F1030" i="1"/>
  <c r="E1030" i="1"/>
  <c r="D1030" i="1"/>
  <c r="B1030" i="1"/>
  <c r="A1030" i="1"/>
  <c r="G1029" i="1"/>
  <c r="F1029" i="1"/>
  <c r="E1029" i="1"/>
  <c r="D1029" i="1"/>
  <c r="B1029" i="1"/>
  <c r="A1029" i="1"/>
  <c r="G1028" i="1"/>
  <c r="F1028" i="1"/>
  <c r="E1028" i="1"/>
  <c r="D1028" i="1"/>
  <c r="B1028" i="1"/>
  <c r="A1028" i="1"/>
  <c r="G1027" i="1"/>
  <c r="F1027" i="1"/>
  <c r="E1027" i="1"/>
  <c r="D1027" i="1"/>
  <c r="B1027" i="1"/>
  <c r="A1027" i="1"/>
  <c r="G1026" i="1"/>
  <c r="F1026" i="1"/>
  <c r="E1026" i="1"/>
  <c r="D1026" i="1"/>
  <c r="B1026" i="1"/>
  <c r="A1026" i="1"/>
  <c r="G1025" i="1"/>
  <c r="F1025" i="1"/>
  <c r="E1025" i="1"/>
  <c r="D1025" i="1"/>
  <c r="B1025" i="1"/>
  <c r="A1025" i="1"/>
  <c r="G1024" i="1"/>
  <c r="F1024" i="1"/>
  <c r="E1024" i="1"/>
  <c r="D1024" i="1"/>
  <c r="B1024" i="1"/>
  <c r="A1024" i="1"/>
  <c r="G1023" i="1"/>
  <c r="F1023" i="1"/>
  <c r="E1023" i="1"/>
  <c r="D1023" i="1"/>
  <c r="B1023" i="1"/>
  <c r="A1023" i="1"/>
  <c r="G1022" i="1"/>
  <c r="F1022" i="1"/>
  <c r="E1022" i="1"/>
  <c r="D1022" i="1"/>
  <c r="B1022" i="1"/>
  <c r="A1022" i="1"/>
  <c r="G1021" i="1"/>
  <c r="F1021" i="1"/>
  <c r="E1021" i="1"/>
  <c r="D1021" i="1"/>
  <c r="B1021" i="1"/>
  <c r="A1021" i="1"/>
  <c r="G1020" i="1"/>
  <c r="F1020" i="1"/>
  <c r="E1020" i="1"/>
  <c r="D1020" i="1"/>
  <c r="B1020" i="1"/>
  <c r="A1020" i="1"/>
  <c r="G1019" i="1"/>
  <c r="F1019" i="1"/>
  <c r="E1019" i="1"/>
  <c r="D1019" i="1"/>
  <c r="B1019" i="1"/>
  <c r="A1019" i="1"/>
  <c r="G1018" i="1"/>
  <c r="F1018" i="1"/>
  <c r="E1018" i="1"/>
  <c r="D1018" i="1"/>
  <c r="B1018" i="1"/>
  <c r="A1018" i="1"/>
  <c r="G1017" i="1"/>
  <c r="F1017" i="1"/>
  <c r="E1017" i="1"/>
  <c r="D1017" i="1"/>
  <c r="B1017" i="1"/>
  <c r="A1017" i="1"/>
  <c r="G1016" i="1"/>
  <c r="F1016" i="1"/>
  <c r="E1016" i="1"/>
  <c r="D1016" i="1"/>
  <c r="B1016" i="1"/>
  <c r="A1016" i="1"/>
  <c r="G1015" i="1"/>
  <c r="F1015" i="1"/>
  <c r="E1015" i="1"/>
  <c r="D1015" i="1"/>
  <c r="B1015" i="1"/>
  <c r="A1015" i="1"/>
  <c r="G1014" i="1"/>
  <c r="F1014" i="1"/>
  <c r="E1014" i="1"/>
  <c r="D1014" i="1"/>
  <c r="B1014" i="1"/>
  <c r="A1014" i="1"/>
  <c r="G1013" i="1"/>
  <c r="F1013" i="1"/>
  <c r="E1013" i="1"/>
  <c r="D1013" i="1"/>
  <c r="B1013" i="1"/>
  <c r="A1013" i="1"/>
  <c r="G1012" i="1"/>
  <c r="F1012" i="1"/>
  <c r="E1012" i="1"/>
  <c r="D1012" i="1"/>
  <c r="B1012" i="1"/>
  <c r="A1012" i="1"/>
  <c r="G1011" i="1"/>
  <c r="F1011" i="1"/>
  <c r="E1011" i="1"/>
  <c r="D1011" i="1"/>
  <c r="B1011" i="1"/>
  <c r="A1011" i="1"/>
  <c r="G1010" i="1"/>
  <c r="F1010" i="1"/>
  <c r="E1010" i="1"/>
  <c r="D1010" i="1"/>
  <c r="B1010" i="1"/>
  <c r="A1010" i="1"/>
  <c r="G1009" i="1"/>
  <c r="F1009" i="1"/>
  <c r="E1009" i="1"/>
  <c r="D1009" i="1"/>
  <c r="B1009" i="1"/>
  <c r="A1009" i="1"/>
  <c r="G1008" i="1"/>
  <c r="F1008" i="1"/>
  <c r="E1008" i="1"/>
  <c r="D1008" i="1"/>
  <c r="B1008" i="1"/>
  <c r="A1008" i="1"/>
  <c r="G1007" i="1"/>
  <c r="F1007" i="1"/>
  <c r="E1007" i="1"/>
  <c r="D1007" i="1"/>
  <c r="B1007" i="1"/>
  <c r="A1007" i="1"/>
  <c r="G1006" i="1"/>
  <c r="F1006" i="1"/>
  <c r="E1006" i="1"/>
  <c r="D1006" i="1"/>
  <c r="B1006" i="1"/>
  <c r="A1006" i="1"/>
  <c r="G1005" i="1"/>
  <c r="F1005" i="1"/>
  <c r="E1005" i="1"/>
  <c r="D1005" i="1"/>
  <c r="B1005" i="1"/>
  <c r="A1005" i="1"/>
  <c r="G1004" i="1"/>
  <c r="F1004" i="1"/>
  <c r="E1004" i="1"/>
  <c r="D1004" i="1"/>
  <c r="B1004" i="1"/>
  <c r="A1004" i="1"/>
  <c r="G1003" i="1"/>
  <c r="F1003" i="1"/>
  <c r="E1003" i="1"/>
  <c r="D1003" i="1"/>
  <c r="B1003" i="1"/>
  <c r="A1003" i="1"/>
  <c r="G1002" i="1"/>
  <c r="F1002" i="1"/>
  <c r="E1002" i="1"/>
  <c r="D1002" i="1"/>
  <c r="B1002" i="1"/>
  <c r="A1002" i="1"/>
  <c r="G1001" i="1"/>
  <c r="F1001" i="1"/>
  <c r="E1001" i="1"/>
  <c r="D1001" i="1"/>
  <c r="B1001" i="1"/>
  <c r="A1001" i="1"/>
  <c r="G1000" i="1"/>
  <c r="F1000" i="1"/>
  <c r="E1000" i="1"/>
  <c r="D1000" i="1"/>
  <c r="B1000" i="1"/>
  <c r="A1000" i="1"/>
  <c r="G999" i="1"/>
  <c r="F999" i="1"/>
  <c r="E999" i="1"/>
  <c r="D999" i="1"/>
  <c r="B999" i="1"/>
  <c r="A999" i="1"/>
  <c r="G998" i="1"/>
  <c r="F998" i="1"/>
  <c r="E998" i="1"/>
  <c r="D998" i="1"/>
  <c r="B998" i="1"/>
  <c r="A998" i="1"/>
  <c r="G997" i="1"/>
  <c r="F997" i="1"/>
  <c r="E997" i="1"/>
  <c r="D997" i="1"/>
  <c r="B997" i="1"/>
  <c r="A997" i="1"/>
  <c r="G996" i="1"/>
  <c r="F996" i="1"/>
  <c r="E996" i="1"/>
  <c r="D996" i="1"/>
  <c r="B996" i="1"/>
  <c r="A996" i="1"/>
  <c r="G995" i="1"/>
  <c r="F995" i="1"/>
  <c r="E995" i="1"/>
  <c r="D995" i="1"/>
  <c r="B995" i="1"/>
  <c r="A995" i="1"/>
  <c r="G994" i="1"/>
  <c r="F994" i="1"/>
  <c r="E994" i="1"/>
  <c r="D994" i="1"/>
  <c r="B994" i="1"/>
  <c r="A994" i="1"/>
  <c r="G993" i="1"/>
  <c r="F993" i="1"/>
  <c r="E993" i="1"/>
  <c r="D993" i="1"/>
  <c r="B993" i="1"/>
  <c r="A993" i="1"/>
  <c r="G992" i="1"/>
  <c r="F992" i="1"/>
  <c r="E992" i="1"/>
  <c r="D992" i="1"/>
  <c r="B992" i="1"/>
  <c r="A992" i="1"/>
  <c r="G991" i="1"/>
  <c r="F991" i="1"/>
  <c r="E991" i="1"/>
  <c r="D991" i="1"/>
  <c r="B991" i="1"/>
  <c r="A991" i="1"/>
  <c r="G990" i="1"/>
  <c r="F990" i="1"/>
  <c r="E990" i="1"/>
  <c r="D990" i="1"/>
  <c r="B990" i="1"/>
  <c r="A990" i="1"/>
  <c r="G989" i="1"/>
  <c r="F989" i="1"/>
  <c r="E989" i="1"/>
  <c r="D989" i="1"/>
  <c r="B989" i="1"/>
  <c r="A989" i="1"/>
  <c r="G988" i="1"/>
  <c r="F988" i="1"/>
  <c r="E988" i="1"/>
  <c r="D988" i="1"/>
  <c r="B988" i="1"/>
  <c r="A988" i="1"/>
  <c r="G987" i="1"/>
  <c r="F987" i="1"/>
  <c r="E987" i="1"/>
  <c r="D987" i="1"/>
  <c r="B987" i="1"/>
  <c r="A987" i="1"/>
  <c r="G986" i="1"/>
  <c r="F986" i="1"/>
  <c r="E986" i="1"/>
  <c r="D986" i="1"/>
  <c r="B986" i="1"/>
  <c r="A986" i="1"/>
  <c r="G985" i="1"/>
  <c r="F985" i="1"/>
  <c r="E985" i="1"/>
  <c r="D985" i="1"/>
  <c r="B985" i="1"/>
  <c r="A985" i="1"/>
  <c r="G984" i="1"/>
  <c r="F984" i="1"/>
  <c r="E984" i="1"/>
  <c r="D984" i="1"/>
  <c r="B984" i="1"/>
  <c r="A984" i="1"/>
  <c r="G983" i="1"/>
  <c r="F983" i="1"/>
  <c r="E983" i="1"/>
  <c r="D983" i="1"/>
  <c r="B983" i="1"/>
  <c r="A983" i="1"/>
  <c r="G982" i="1"/>
  <c r="F982" i="1"/>
  <c r="E982" i="1"/>
  <c r="D982" i="1"/>
  <c r="B982" i="1"/>
  <c r="A982" i="1"/>
  <c r="G981" i="1"/>
  <c r="F981" i="1"/>
  <c r="E981" i="1"/>
  <c r="D981" i="1"/>
  <c r="B981" i="1"/>
  <c r="A981" i="1"/>
  <c r="G980" i="1"/>
  <c r="F980" i="1"/>
  <c r="E980" i="1"/>
  <c r="D980" i="1"/>
  <c r="B980" i="1"/>
  <c r="A980" i="1"/>
  <c r="G979" i="1"/>
  <c r="F979" i="1"/>
  <c r="E979" i="1"/>
  <c r="D979" i="1"/>
  <c r="B979" i="1"/>
  <c r="A979" i="1"/>
  <c r="G978" i="1"/>
  <c r="F978" i="1"/>
  <c r="E978" i="1"/>
  <c r="D978" i="1"/>
  <c r="B978" i="1"/>
  <c r="A978" i="1"/>
  <c r="G977" i="1"/>
  <c r="F977" i="1"/>
  <c r="E977" i="1"/>
  <c r="D977" i="1"/>
  <c r="B977" i="1"/>
  <c r="A977" i="1"/>
  <c r="G976" i="1"/>
  <c r="F976" i="1"/>
  <c r="E976" i="1"/>
  <c r="D976" i="1"/>
  <c r="B976" i="1"/>
  <c r="A976" i="1"/>
  <c r="G975" i="1"/>
  <c r="F975" i="1"/>
  <c r="E975" i="1"/>
  <c r="D975" i="1"/>
  <c r="B975" i="1"/>
  <c r="A975" i="1"/>
  <c r="G974" i="1"/>
  <c r="F974" i="1"/>
  <c r="E974" i="1"/>
  <c r="D974" i="1"/>
  <c r="B974" i="1"/>
  <c r="A974" i="1"/>
  <c r="G973" i="1"/>
  <c r="F973" i="1"/>
  <c r="E973" i="1"/>
  <c r="D973" i="1"/>
  <c r="B973" i="1"/>
  <c r="A973" i="1"/>
  <c r="G972" i="1"/>
  <c r="F972" i="1"/>
  <c r="E972" i="1"/>
  <c r="D972" i="1"/>
  <c r="B972" i="1"/>
  <c r="A972" i="1"/>
  <c r="G971" i="1"/>
  <c r="F971" i="1"/>
  <c r="E971" i="1"/>
  <c r="D971" i="1"/>
  <c r="B971" i="1"/>
  <c r="A971" i="1"/>
  <c r="G970" i="1"/>
  <c r="F970" i="1"/>
  <c r="E970" i="1"/>
  <c r="D970" i="1"/>
  <c r="B970" i="1"/>
  <c r="A970" i="1"/>
  <c r="G969" i="1"/>
  <c r="F969" i="1"/>
  <c r="E969" i="1"/>
  <c r="D969" i="1"/>
  <c r="B969" i="1"/>
  <c r="A969" i="1"/>
  <c r="G968" i="1"/>
  <c r="F968" i="1"/>
  <c r="E968" i="1"/>
  <c r="D968" i="1"/>
  <c r="B968" i="1"/>
  <c r="A968" i="1"/>
  <c r="G967" i="1"/>
  <c r="F967" i="1"/>
  <c r="E967" i="1"/>
  <c r="D967" i="1"/>
  <c r="B967" i="1"/>
  <c r="A967" i="1"/>
  <c r="G966" i="1"/>
  <c r="F966" i="1"/>
  <c r="E966" i="1"/>
  <c r="D966" i="1"/>
  <c r="B966" i="1"/>
  <c r="A966" i="1"/>
  <c r="G965" i="1"/>
  <c r="F965" i="1"/>
  <c r="E965" i="1"/>
  <c r="D965" i="1"/>
  <c r="B965" i="1"/>
  <c r="A965" i="1"/>
  <c r="G964" i="1"/>
  <c r="F964" i="1"/>
  <c r="E964" i="1"/>
  <c r="D964" i="1"/>
  <c r="B964" i="1"/>
  <c r="A964" i="1"/>
  <c r="G963" i="1"/>
  <c r="F963" i="1"/>
  <c r="E963" i="1"/>
  <c r="D963" i="1"/>
  <c r="B963" i="1"/>
  <c r="A963" i="1"/>
  <c r="G962" i="1"/>
  <c r="F962" i="1"/>
  <c r="E962" i="1"/>
  <c r="D962" i="1"/>
  <c r="B962" i="1"/>
  <c r="A962" i="1"/>
  <c r="G961" i="1"/>
  <c r="F961" i="1"/>
  <c r="E961" i="1"/>
  <c r="D961" i="1"/>
  <c r="B961" i="1"/>
  <c r="A961" i="1"/>
  <c r="G960" i="1"/>
  <c r="F960" i="1"/>
  <c r="E960" i="1"/>
  <c r="D960" i="1"/>
  <c r="B960" i="1"/>
  <c r="A960" i="1"/>
  <c r="G959" i="1"/>
  <c r="F959" i="1"/>
  <c r="E959" i="1"/>
  <c r="D959" i="1"/>
  <c r="B959" i="1"/>
  <c r="A959" i="1"/>
  <c r="G958" i="1"/>
  <c r="F958" i="1"/>
  <c r="E958" i="1"/>
  <c r="D958" i="1"/>
  <c r="B958" i="1"/>
  <c r="A958" i="1"/>
  <c r="G957" i="1"/>
  <c r="F957" i="1"/>
  <c r="E957" i="1"/>
  <c r="D957" i="1"/>
  <c r="B957" i="1"/>
  <c r="A957" i="1"/>
  <c r="G956" i="1"/>
  <c r="F956" i="1"/>
  <c r="E956" i="1"/>
  <c r="D956" i="1"/>
  <c r="B956" i="1"/>
  <c r="A956" i="1"/>
  <c r="G955" i="1"/>
  <c r="F955" i="1"/>
  <c r="E955" i="1"/>
  <c r="D955" i="1"/>
  <c r="B955" i="1"/>
  <c r="A955" i="1"/>
  <c r="G954" i="1"/>
  <c r="F954" i="1"/>
  <c r="E954" i="1"/>
  <c r="D954" i="1"/>
  <c r="B954" i="1"/>
  <c r="A954" i="1"/>
  <c r="G953" i="1"/>
  <c r="F953" i="1"/>
  <c r="E953" i="1"/>
  <c r="D953" i="1"/>
  <c r="B953" i="1"/>
  <c r="A953" i="1"/>
  <c r="G952" i="1"/>
  <c r="F952" i="1"/>
  <c r="E952" i="1"/>
  <c r="D952" i="1"/>
  <c r="B952" i="1"/>
  <c r="A952" i="1"/>
  <c r="G951" i="1"/>
  <c r="F951" i="1"/>
  <c r="E951" i="1"/>
  <c r="D951" i="1"/>
  <c r="B951" i="1"/>
  <c r="A951" i="1"/>
  <c r="G950" i="1"/>
  <c r="F950" i="1"/>
  <c r="E950" i="1"/>
  <c r="D950" i="1"/>
  <c r="B950" i="1"/>
  <c r="A950" i="1"/>
  <c r="G949" i="1"/>
  <c r="F949" i="1"/>
  <c r="E949" i="1"/>
  <c r="D949" i="1"/>
  <c r="B949" i="1"/>
  <c r="A949" i="1"/>
  <c r="G948" i="1"/>
  <c r="F948" i="1"/>
  <c r="E948" i="1"/>
  <c r="D948" i="1"/>
  <c r="B948" i="1"/>
  <c r="A948" i="1"/>
  <c r="G947" i="1"/>
  <c r="F947" i="1"/>
  <c r="E947" i="1"/>
  <c r="D947" i="1"/>
  <c r="B947" i="1"/>
  <c r="A947" i="1"/>
  <c r="G946" i="1"/>
  <c r="F946" i="1"/>
  <c r="E946" i="1"/>
  <c r="D946" i="1"/>
  <c r="B946" i="1"/>
  <c r="A946" i="1"/>
  <c r="G945" i="1"/>
  <c r="F945" i="1"/>
  <c r="E945" i="1"/>
  <c r="D945" i="1"/>
  <c r="B945" i="1"/>
  <c r="A945" i="1"/>
  <c r="G944" i="1"/>
  <c r="F944" i="1"/>
  <c r="E944" i="1"/>
  <c r="D944" i="1"/>
  <c r="B944" i="1"/>
  <c r="A944" i="1"/>
  <c r="G943" i="1"/>
  <c r="F943" i="1"/>
  <c r="E943" i="1"/>
  <c r="D943" i="1"/>
  <c r="B943" i="1"/>
  <c r="A943" i="1"/>
  <c r="G942" i="1"/>
  <c r="F942" i="1"/>
  <c r="E942" i="1"/>
  <c r="D942" i="1"/>
  <c r="B942" i="1"/>
  <c r="A942" i="1"/>
  <c r="G941" i="1"/>
  <c r="F941" i="1"/>
  <c r="E941" i="1"/>
  <c r="D941" i="1"/>
  <c r="B941" i="1"/>
  <c r="A941" i="1"/>
  <c r="G940" i="1"/>
  <c r="F940" i="1"/>
  <c r="E940" i="1"/>
  <c r="D940" i="1"/>
  <c r="B940" i="1"/>
  <c r="A940" i="1"/>
  <c r="G939" i="1"/>
  <c r="F939" i="1"/>
  <c r="E939" i="1"/>
  <c r="D939" i="1"/>
  <c r="B939" i="1"/>
  <c r="A939" i="1"/>
  <c r="G938" i="1"/>
  <c r="F938" i="1"/>
  <c r="E938" i="1"/>
  <c r="D938" i="1"/>
  <c r="B938" i="1"/>
  <c r="A938" i="1"/>
  <c r="G937" i="1"/>
  <c r="F937" i="1"/>
  <c r="E937" i="1"/>
  <c r="D937" i="1"/>
  <c r="B937" i="1"/>
  <c r="A937" i="1"/>
  <c r="G936" i="1"/>
  <c r="F936" i="1"/>
  <c r="E936" i="1"/>
  <c r="D936" i="1"/>
  <c r="B936" i="1"/>
  <c r="A936" i="1"/>
  <c r="G935" i="1"/>
  <c r="F935" i="1"/>
  <c r="E935" i="1"/>
  <c r="D935" i="1"/>
  <c r="B935" i="1"/>
  <c r="A935" i="1"/>
  <c r="G934" i="1"/>
  <c r="F934" i="1"/>
  <c r="E934" i="1"/>
  <c r="D934" i="1"/>
  <c r="B934" i="1"/>
  <c r="A934" i="1"/>
  <c r="G933" i="1"/>
  <c r="F933" i="1"/>
  <c r="E933" i="1"/>
  <c r="D933" i="1"/>
  <c r="B933" i="1"/>
  <c r="A933" i="1"/>
  <c r="G932" i="1"/>
  <c r="F932" i="1"/>
  <c r="E932" i="1"/>
  <c r="D932" i="1"/>
  <c r="B932" i="1"/>
  <c r="A932" i="1"/>
  <c r="G931" i="1"/>
  <c r="F931" i="1"/>
  <c r="E931" i="1"/>
  <c r="D931" i="1"/>
  <c r="B931" i="1"/>
  <c r="A931" i="1"/>
  <c r="G930" i="1"/>
  <c r="F930" i="1"/>
  <c r="E930" i="1"/>
  <c r="D930" i="1"/>
  <c r="B930" i="1"/>
  <c r="A930" i="1"/>
  <c r="G929" i="1"/>
  <c r="F929" i="1"/>
  <c r="E929" i="1"/>
  <c r="D929" i="1"/>
  <c r="B929" i="1"/>
  <c r="A929" i="1"/>
  <c r="G928" i="1"/>
  <c r="F928" i="1"/>
  <c r="E928" i="1"/>
  <c r="D928" i="1"/>
  <c r="B928" i="1"/>
  <c r="A928" i="1"/>
  <c r="G927" i="1"/>
  <c r="F927" i="1"/>
  <c r="E927" i="1"/>
  <c r="D927" i="1"/>
  <c r="B927" i="1"/>
  <c r="A927" i="1"/>
  <c r="G926" i="1"/>
  <c r="F926" i="1"/>
  <c r="E926" i="1"/>
  <c r="D926" i="1"/>
  <c r="B926" i="1"/>
  <c r="A926" i="1"/>
  <c r="G925" i="1"/>
  <c r="F925" i="1"/>
  <c r="E925" i="1"/>
  <c r="D925" i="1"/>
  <c r="B925" i="1"/>
  <c r="A925" i="1"/>
  <c r="G924" i="1"/>
  <c r="F924" i="1"/>
  <c r="E924" i="1"/>
  <c r="D924" i="1"/>
  <c r="B924" i="1"/>
  <c r="A924" i="1"/>
  <c r="G923" i="1"/>
  <c r="F923" i="1"/>
  <c r="E923" i="1"/>
  <c r="D923" i="1"/>
  <c r="B923" i="1"/>
  <c r="A923" i="1"/>
  <c r="G922" i="1"/>
  <c r="F922" i="1"/>
  <c r="E922" i="1"/>
  <c r="D922" i="1"/>
  <c r="B922" i="1"/>
  <c r="A922" i="1"/>
  <c r="G921" i="1"/>
  <c r="F921" i="1"/>
  <c r="E921" i="1"/>
  <c r="D921" i="1"/>
  <c r="B921" i="1"/>
  <c r="A921" i="1"/>
  <c r="G920" i="1"/>
  <c r="F920" i="1"/>
  <c r="E920" i="1"/>
  <c r="D920" i="1"/>
  <c r="B920" i="1"/>
  <c r="A920" i="1"/>
  <c r="G919" i="1"/>
  <c r="F919" i="1"/>
  <c r="E919" i="1"/>
  <c r="D919" i="1"/>
  <c r="B919" i="1"/>
  <c r="A919" i="1"/>
  <c r="G918" i="1"/>
  <c r="F918" i="1"/>
  <c r="E918" i="1"/>
  <c r="D918" i="1"/>
  <c r="B918" i="1"/>
  <c r="A918" i="1"/>
  <c r="G917" i="1"/>
  <c r="F917" i="1"/>
  <c r="E917" i="1"/>
  <c r="D917" i="1"/>
  <c r="B917" i="1"/>
  <c r="A917" i="1"/>
  <c r="G916" i="1"/>
  <c r="F916" i="1"/>
  <c r="E916" i="1"/>
  <c r="D916" i="1"/>
  <c r="B916" i="1"/>
  <c r="A916" i="1"/>
  <c r="G915" i="1"/>
  <c r="F915" i="1"/>
  <c r="E915" i="1"/>
  <c r="D915" i="1"/>
  <c r="B915" i="1"/>
  <c r="A915" i="1"/>
  <c r="G914" i="1"/>
  <c r="F914" i="1"/>
  <c r="E914" i="1"/>
  <c r="D914" i="1"/>
  <c r="B914" i="1"/>
  <c r="A914" i="1"/>
  <c r="G913" i="1"/>
  <c r="F913" i="1"/>
  <c r="E913" i="1"/>
  <c r="D913" i="1"/>
  <c r="B913" i="1"/>
  <c r="A913" i="1"/>
  <c r="G912" i="1"/>
  <c r="F912" i="1"/>
  <c r="E912" i="1"/>
  <c r="D912" i="1"/>
  <c r="B912" i="1"/>
  <c r="A912" i="1"/>
  <c r="G911" i="1"/>
  <c r="F911" i="1"/>
  <c r="E911" i="1"/>
  <c r="D911" i="1"/>
  <c r="B911" i="1"/>
  <c r="A911" i="1"/>
  <c r="G910" i="1"/>
  <c r="F910" i="1"/>
  <c r="E910" i="1"/>
  <c r="D910" i="1"/>
  <c r="B910" i="1"/>
  <c r="A910" i="1"/>
  <c r="G909" i="1"/>
  <c r="F909" i="1"/>
  <c r="E909" i="1"/>
  <c r="D909" i="1"/>
  <c r="B909" i="1"/>
  <c r="A909" i="1"/>
  <c r="G908" i="1"/>
  <c r="F908" i="1"/>
  <c r="E908" i="1"/>
  <c r="D908" i="1"/>
  <c r="B908" i="1"/>
  <c r="A908" i="1"/>
  <c r="G907" i="1"/>
  <c r="F907" i="1"/>
  <c r="E907" i="1"/>
  <c r="D907" i="1"/>
  <c r="B907" i="1"/>
  <c r="A907" i="1"/>
  <c r="G906" i="1"/>
  <c r="F906" i="1"/>
  <c r="E906" i="1"/>
  <c r="D906" i="1"/>
  <c r="B906" i="1"/>
  <c r="A906" i="1"/>
  <c r="G905" i="1"/>
  <c r="F905" i="1"/>
  <c r="E905" i="1"/>
  <c r="D905" i="1"/>
  <c r="B905" i="1"/>
  <c r="A905" i="1"/>
  <c r="G904" i="1"/>
  <c r="F904" i="1"/>
  <c r="E904" i="1"/>
  <c r="D904" i="1"/>
  <c r="B904" i="1"/>
  <c r="A904" i="1"/>
  <c r="G903" i="1"/>
  <c r="F903" i="1"/>
  <c r="E903" i="1"/>
  <c r="D903" i="1"/>
  <c r="B903" i="1"/>
  <c r="A903" i="1"/>
  <c r="G902" i="1"/>
  <c r="F902" i="1"/>
  <c r="E902" i="1"/>
  <c r="D902" i="1"/>
  <c r="B902" i="1"/>
  <c r="A902" i="1"/>
  <c r="G901" i="1"/>
  <c r="F901" i="1"/>
  <c r="E901" i="1"/>
  <c r="D901" i="1"/>
  <c r="B901" i="1"/>
  <c r="A901" i="1"/>
  <c r="G900" i="1"/>
  <c r="F900" i="1"/>
  <c r="E900" i="1"/>
  <c r="D900" i="1"/>
  <c r="B900" i="1"/>
  <c r="A900" i="1"/>
  <c r="G899" i="1"/>
  <c r="F899" i="1"/>
  <c r="E899" i="1"/>
  <c r="D899" i="1"/>
  <c r="B899" i="1"/>
  <c r="A899" i="1"/>
  <c r="G898" i="1"/>
  <c r="F898" i="1"/>
  <c r="E898" i="1"/>
  <c r="D898" i="1"/>
  <c r="B898" i="1"/>
  <c r="A898" i="1"/>
  <c r="G897" i="1"/>
  <c r="F897" i="1"/>
  <c r="E897" i="1"/>
  <c r="D897" i="1"/>
  <c r="B897" i="1"/>
  <c r="A897" i="1"/>
  <c r="G896" i="1"/>
  <c r="F896" i="1"/>
  <c r="E896" i="1"/>
  <c r="D896" i="1"/>
  <c r="B896" i="1"/>
  <c r="A896" i="1"/>
  <c r="G895" i="1"/>
  <c r="F895" i="1"/>
  <c r="E895" i="1"/>
  <c r="D895" i="1"/>
  <c r="B895" i="1"/>
  <c r="A895" i="1"/>
  <c r="G894" i="1"/>
  <c r="F894" i="1"/>
  <c r="E894" i="1"/>
  <c r="D894" i="1"/>
  <c r="B894" i="1"/>
  <c r="A894" i="1"/>
  <c r="G893" i="1"/>
  <c r="F893" i="1"/>
  <c r="E893" i="1"/>
  <c r="D893" i="1"/>
  <c r="B893" i="1"/>
  <c r="A893" i="1"/>
  <c r="G892" i="1"/>
  <c r="F892" i="1"/>
  <c r="E892" i="1"/>
  <c r="D892" i="1"/>
  <c r="B892" i="1"/>
  <c r="A892" i="1"/>
  <c r="G891" i="1"/>
  <c r="F891" i="1"/>
  <c r="E891" i="1"/>
  <c r="D891" i="1"/>
  <c r="B891" i="1"/>
  <c r="A891" i="1"/>
  <c r="G890" i="1"/>
  <c r="F890" i="1"/>
  <c r="E890" i="1"/>
  <c r="D890" i="1"/>
  <c r="B890" i="1"/>
  <c r="A890" i="1"/>
  <c r="G889" i="1"/>
  <c r="F889" i="1"/>
  <c r="E889" i="1"/>
  <c r="D889" i="1"/>
  <c r="B889" i="1"/>
  <c r="A889" i="1"/>
  <c r="G888" i="1"/>
  <c r="F888" i="1"/>
  <c r="E888" i="1"/>
  <c r="D888" i="1"/>
  <c r="B888" i="1"/>
  <c r="A888" i="1"/>
  <c r="G887" i="1"/>
  <c r="F887" i="1"/>
  <c r="E887" i="1"/>
  <c r="D887" i="1"/>
  <c r="B887" i="1"/>
  <c r="A887" i="1"/>
  <c r="G886" i="1"/>
  <c r="F886" i="1"/>
  <c r="E886" i="1"/>
  <c r="D886" i="1"/>
  <c r="B886" i="1"/>
  <c r="A886" i="1"/>
  <c r="G885" i="1"/>
  <c r="F885" i="1"/>
  <c r="E885" i="1"/>
  <c r="D885" i="1"/>
  <c r="B885" i="1"/>
  <c r="A885" i="1"/>
  <c r="G884" i="1"/>
  <c r="F884" i="1"/>
  <c r="E884" i="1"/>
  <c r="D884" i="1"/>
  <c r="B884" i="1"/>
  <c r="A884" i="1"/>
  <c r="G883" i="1"/>
  <c r="F883" i="1"/>
  <c r="E883" i="1"/>
  <c r="D883" i="1"/>
  <c r="B883" i="1"/>
  <c r="A883" i="1"/>
  <c r="G882" i="1"/>
  <c r="F882" i="1"/>
  <c r="E882" i="1"/>
  <c r="D882" i="1"/>
  <c r="B882" i="1"/>
  <c r="A882" i="1"/>
  <c r="G881" i="1"/>
  <c r="F881" i="1"/>
  <c r="E881" i="1"/>
  <c r="D881" i="1"/>
  <c r="B881" i="1"/>
  <c r="A881" i="1"/>
  <c r="G880" i="1"/>
  <c r="F880" i="1"/>
  <c r="E880" i="1"/>
  <c r="D880" i="1"/>
  <c r="B880" i="1"/>
  <c r="A880" i="1"/>
  <c r="G879" i="1"/>
  <c r="F879" i="1"/>
  <c r="E879" i="1"/>
  <c r="D879" i="1"/>
  <c r="B879" i="1"/>
  <c r="A879" i="1"/>
  <c r="G878" i="1"/>
  <c r="F878" i="1"/>
  <c r="E878" i="1"/>
  <c r="D878" i="1"/>
  <c r="B878" i="1"/>
  <c r="A878" i="1"/>
  <c r="G877" i="1"/>
  <c r="F877" i="1"/>
  <c r="E877" i="1"/>
  <c r="D877" i="1"/>
  <c r="B877" i="1"/>
  <c r="A877" i="1"/>
  <c r="G876" i="1"/>
  <c r="F876" i="1"/>
  <c r="E876" i="1"/>
  <c r="D876" i="1"/>
  <c r="B876" i="1"/>
  <c r="A876" i="1"/>
  <c r="G875" i="1"/>
  <c r="F875" i="1"/>
  <c r="E875" i="1"/>
  <c r="D875" i="1"/>
  <c r="B875" i="1"/>
  <c r="A875" i="1"/>
  <c r="G874" i="1"/>
  <c r="F874" i="1"/>
  <c r="E874" i="1"/>
  <c r="D874" i="1"/>
  <c r="B874" i="1"/>
  <c r="A874" i="1"/>
  <c r="G873" i="1"/>
  <c r="F873" i="1"/>
  <c r="E873" i="1"/>
  <c r="D873" i="1"/>
  <c r="B873" i="1"/>
  <c r="A873" i="1"/>
  <c r="G872" i="1"/>
  <c r="F872" i="1"/>
  <c r="E872" i="1"/>
  <c r="D872" i="1"/>
  <c r="B872" i="1"/>
  <c r="A872" i="1"/>
  <c r="G871" i="1"/>
  <c r="F871" i="1"/>
  <c r="E871" i="1"/>
  <c r="D871" i="1"/>
  <c r="B871" i="1"/>
  <c r="A871" i="1"/>
  <c r="G870" i="1"/>
  <c r="F870" i="1"/>
  <c r="E870" i="1"/>
  <c r="D870" i="1"/>
  <c r="B870" i="1"/>
  <c r="A870" i="1"/>
  <c r="G869" i="1"/>
  <c r="F869" i="1"/>
  <c r="E869" i="1"/>
  <c r="D869" i="1"/>
  <c r="B869" i="1"/>
  <c r="A869" i="1"/>
  <c r="G868" i="1"/>
  <c r="F868" i="1"/>
  <c r="E868" i="1"/>
  <c r="D868" i="1"/>
  <c r="B868" i="1"/>
  <c r="A868" i="1"/>
  <c r="G867" i="1"/>
  <c r="F867" i="1"/>
  <c r="E867" i="1"/>
  <c r="D867" i="1"/>
  <c r="B867" i="1"/>
  <c r="A867" i="1"/>
  <c r="G866" i="1"/>
  <c r="F866" i="1"/>
  <c r="E866" i="1"/>
  <c r="D866" i="1"/>
  <c r="B866" i="1"/>
  <c r="A866" i="1"/>
  <c r="G865" i="1"/>
  <c r="F865" i="1"/>
  <c r="E865" i="1"/>
  <c r="D865" i="1"/>
  <c r="B865" i="1"/>
  <c r="A865" i="1"/>
  <c r="G864" i="1"/>
  <c r="F864" i="1"/>
  <c r="E864" i="1"/>
  <c r="D864" i="1"/>
  <c r="B864" i="1"/>
  <c r="A864" i="1"/>
  <c r="G863" i="1"/>
  <c r="F863" i="1"/>
  <c r="E863" i="1"/>
  <c r="D863" i="1"/>
  <c r="B863" i="1"/>
  <c r="A863" i="1"/>
  <c r="G862" i="1"/>
  <c r="F862" i="1"/>
  <c r="E862" i="1"/>
  <c r="D862" i="1"/>
  <c r="B862" i="1"/>
  <c r="A862" i="1"/>
  <c r="G861" i="1"/>
  <c r="F861" i="1"/>
  <c r="E861" i="1"/>
  <c r="D861" i="1"/>
  <c r="B861" i="1"/>
  <c r="A861" i="1"/>
  <c r="G860" i="1"/>
  <c r="F860" i="1"/>
  <c r="E860" i="1"/>
  <c r="D860" i="1"/>
  <c r="B860" i="1"/>
  <c r="A860" i="1"/>
  <c r="G859" i="1"/>
  <c r="F859" i="1"/>
  <c r="E859" i="1"/>
  <c r="D859" i="1"/>
  <c r="B859" i="1"/>
  <c r="A859" i="1"/>
  <c r="G858" i="1"/>
  <c r="F858" i="1"/>
  <c r="E858" i="1"/>
  <c r="D858" i="1"/>
  <c r="B858" i="1"/>
  <c r="A858" i="1"/>
  <c r="G857" i="1"/>
  <c r="F857" i="1"/>
  <c r="E857" i="1"/>
  <c r="D857" i="1"/>
  <c r="B857" i="1"/>
  <c r="A857" i="1"/>
  <c r="G856" i="1"/>
  <c r="F856" i="1"/>
  <c r="E856" i="1"/>
  <c r="D856" i="1"/>
  <c r="B856" i="1"/>
  <c r="A856" i="1"/>
  <c r="G855" i="1"/>
  <c r="F855" i="1"/>
  <c r="E855" i="1"/>
  <c r="D855" i="1"/>
  <c r="B855" i="1"/>
  <c r="A855" i="1"/>
  <c r="G854" i="1"/>
  <c r="F854" i="1"/>
  <c r="E854" i="1"/>
  <c r="D854" i="1"/>
  <c r="B854" i="1"/>
  <c r="A854" i="1"/>
  <c r="G853" i="1"/>
  <c r="F853" i="1"/>
  <c r="E853" i="1"/>
  <c r="D853" i="1"/>
  <c r="B853" i="1"/>
  <c r="A853" i="1"/>
  <c r="G852" i="1"/>
  <c r="F852" i="1"/>
  <c r="E852" i="1"/>
  <c r="D852" i="1"/>
  <c r="B852" i="1"/>
  <c r="A852" i="1"/>
  <c r="G851" i="1"/>
  <c r="F851" i="1"/>
  <c r="E851" i="1"/>
  <c r="D851" i="1"/>
  <c r="B851" i="1"/>
  <c r="A851" i="1"/>
  <c r="G850" i="1"/>
  <c r="F850" i="1"/>
  <c r="E850" i="1"/>
  <c r="D850" i="1"/>
  <c r="B850" i="1"/>
  <c r="A850" i="1"/>
  <c r="G849" i="1"/>
  <c r="F849" i="1"/>
  <c r="E849" i="1"/>
  <c r="D849" i="1"/>
  <c r="B849" i="1"/>
  <c r="A849" i="1"/>
  <c r="G848" i="1"/>
  <c r="F848" i="1"/>
  <c r="E848" i="1"/>
  <c r="D848" i="1"/>
  <c r="B848" i="1"/>
  <c r="A848" i="1"/>
  <c r="G847" i="1"/>
  <c r="F847" i="1"/>
  <c r="E847" i="1"/>
  <c r="D847" i="1"/>
  <c r="B847" i="1"/>
  <c r="A847" i="1"/>
  <c r="G846" i="1"/>
  <c r="F846" i="1"/>
  <c r="E846" i="1"/>
  <c r="D846" i="1"/>
  <c r="B846" i="1"/>
  <c r="A846" i="1"/>
  <c r="G845" i="1"/>
  <c r="F845" i="1"/>
  <c r="E845" i="1"/>
  <c r="D845" i="1"/>
  <c r="B845" i="1"/>
  <c r="A845" i="1"/>
  <c r="G844" i="1"/>
  <c r="F844" i="1"/>
  <c r="E844" i="1"/>
  <c r="D844" i="1"/>
  <c r="B844" i="1"/>
  <c r="A844" i="1"/>
  <c r="G843" i="1"/>
  <c r="F843" i="1"/>
  <c r="E843" i="1"/>
  <c r="D843" i="1"/>
  <c r="B843" i="1"/>
  <c r="A843" i="1"/>
  <c r="G842" i="1"/>
  <c r="F842" i="1"/>
  <c r="E842" i="1"/>
  <c r="D842" i="1"/>
  <c r="B842" i="1"/>
  <c r="A842" i="1"/>
  <c r="G841" i="1"/>
  <c r="F841" i="1"/>
  <c r="E841" i="1"/>
  <c r="D841" i="1"/>
  <c r="B841" i="1"/>
  <c r="A841" i="1"/>
  <c r="G840" i="1"/>
  <c r="F840" i="1"/>
  <c r="E840" i="1"/>
  <c r="D840" i="1"/>
  <c r="B840" i="1"/>
  <c r="A840" i="1"/>
  <c r="G839" i="1"/>
  <c r="F839" i="1"/>
  <c r="E839" i="1"/>
  <c r="D839" i="1"/>
  <c r="B839" i="1"/>
  <c r="A839" i="1"/>
  <c r="G838" i="1"/>
  <c r="F838" i="1"/>
  <c r="E838" i="1"/>
  <c r="D838" i="1"/>
  <c r="B838" i="1"/>
  <c r="A838" i="1"/>
  <c r="G837" i="1"/>
  <c r="F837" i="1"/>
  <c r="E837" i="1"/>
  <c r="D837" i="1"/>
  <c r="B837" i="1"/>
  <c r="A837" i="1"/>
  <c r="G836" i="1"/>
  <c r="F836" i="1"/>
  <c r="E836" i="1"/>
  <c r="D836" i="1"/>
  <c r="B836" i="1"/>
  <c r="A836" i="1"/>
  <c r="G835" i="1"/>
  <c r="F835" i="1"/>
  <c r="E835" i="1"/>
  <c r="D835" i="1"/>
  <c r="B835" i="1"/>
  <c r="A835" i="1"/>
  <c r="G834" i="1"/>
  <c r="F834" i="1"/>
  <c r="E834" i="1"/>
  <c r="D834" i="1"/>
  <c r="B834" i="1"/>
  <c r="A834" i="1"/>
  <c r="G833" i="1"/>
  <c r="F833" i="1"/>
  <c r="E833" i="1"/>
  <c r="D833" i="1"/>
  <c r="B833" i="1"/>
  <c r="A833" i="1"/>
  <c r="G832" i="1"/>
  <c r="F832" i="1"/>
  <c r="E832" i="1"/>
  <c r="D832" i="1"/>
  <c r="B832" i="1"/>
  <c r="A832" i="1"/>
  <c r="G831" i="1"/>
  <c r="F831" i="1"/>
  <c r="E831" i="1"/>
  <c r="D831" i="1"/>
  <c r="B831" i="1"/>
  <c r="A831" i="1"/>
  <c r="G830" i="1"/>
  <c r="F830" i="1"/>
  <c r="E830" i="1"/>
  <c r="D830" i="1"/>
  <c r="B830" i="1"/>
  <c r="A830" i="1"/>
  <c r="G829" i="1"/>
  <c r="F829" i="1"/>
  <c r="E829" i="1"/>
  <c r="D829" i="1"/>
  <c r="B829" i="1"/>
  <c r="A829" i="1"/>
  <c r="G828" i="1"/>
  <c r="F828" i="1"/>
  <c r="E828" i="1"/>
  <c r="D828" i="1"/>
  <c r="B828" i="1"/>
  <c r="A828" i="1"/>
  <c r="G827" i="1"/>
  <c r="F827" i="1"/>
  <c r="E827" i="1"/>
  <c r="D827" i="1"/>
  <c r="B827" i="1"/>
  <c r="A827" i="1"/>
  <c r="G826" i="1"/>
  <c r="F826" i="1"/>
  <c r="E826" i="1"/>
  <c r="D826" i="1"/>
  <c r="B826" i="1"/>
  <c r="A826" i="1"/>
  <c r="G825" i="1"/>
  <c r="F825" i="1"/>
  <c r="E825" i="1"/>
  <c r="D825" i="1"/>
  <c r="B825" i="1"/>
  <c r="A825" i="1"/>
  <c r="G824" i="1"/>
  <c r="F824" i="1"/>
  <c r="E824" i="1"/>
  <c r="D824" i="1"/>
  <c r="B824" i="1"/>
  <c r="A824" i="1"/>
  <c r="G823" i="1"/>
  <c r="F823" i="1"/>
  <c r="E823" i="1"/>
  <c r="D823" i="1"/>
  <c r="B823" i="1"/>
  <c r="A823" i="1"/>
  <c r="G822" i="1"/>
  <c r="F822" i="1"/>
  <c r="E822" i="1"/>
  <c r="D822" i="1"/>
  <c r="B822" i="1"/>
  <c r="A822" i="1"/>
  <c r="G821" i="1"/>
  <c r="F821" i="1"/>
  <c r="E821" i="1"/>
  <c r="D821" i="1"/>
  <c r="B821" i="1"/>
  <c r="A821" i="1"/>
  <c r="G820" i="1"/>
  <c r="F820" i="1"/>
  <c r="E820" i="1"/>
  <c r="D820" i="1"/>
  <c r="B820" i="1"/>
  <c r="A820" i="1"/>
  <c r="G819" i="1"/>
  <c r="F819" i="1"/>
  <c r="E819" i="1"/>
  <c r="D819" i="1"/>
  <c r="B819" i="1"/>
  <c r="A819" i="1"/>
  <c r="G818" i="1"/>
  <c r="F818" i="1"/>
  <c r="E818" i="1"/>
  <c r="D818" i="1"/>
  <c r="B818" i="1"/>
  <c r="A818" i="1"/>
  <c r="G817" i="1"/>
  <c r="F817" i="1"/>
  <c r="E817" i="1"/>
  <c r="D817" i="1"/>
  <c r="B817" i="1"/>
  <c r="A817" i="1"/>
  <c r="G816" i="1"/>
  <c r="F816" i="1"/>
  <c r="E816" i="1"/>
  <c r="D816" i="1"/>
  <c r="B816" i="1"/>
  <c r="A816" i="1"/>
  <c r="G815" i="1"/>
  <c r="F815" i="1"/>
  <c r="E815" i="1"/>
  <c r="D815" i="1"/>
  <c r="B815" i="1"/>
  <c r="A815" i="1"/>
  <c r="G814" i="1"/>
  <c r="F814" i="1"/>
  <c r="E814" i="1"/>
  <c r="D814" i="1"/>
  <c r="B814" i="1"/>
  <c r="A814" i="1"/>
  <c r="G813" i="1"/>
  <c r="F813" i="1"/>
  <c r="E813" i="1"/>
  <c r="D813" i="1"/>
  <c r="B813" i="1"/>
  <c r="A813" i="1"/>
  <c r="G812" i="1"/>
  <c r="F812" i="1"/>
  <c r="E812" i="1"/>
  <c r="D812" i="1"/>
  <c r="B812" i="1"/>
  <c r="A812" i="1"/>
  <c r="G811" i="1"/>
  <c r="F811" i="1"/>
  <c r="E811" i="1"/>
  <c r="D811" i="1"/>
  <c r="B811" i="1"/>
  <c r="A811" i="1"/>
  <c r="G810" i="1"/>
  <c r="F810" i="1"/>
  <c r="E810" i="1"/>
  <c r="D810" i="1"/>
  <c r="B810" i="1"/>
  <c r="A810" i="1"/>
  <c r="G809" i="1"/>
  <c r="F809" i="1"/>
  <c r="E809" i="1"/>
  <c r="D809" i="1"/>
  <c r="B809" i="1"/>
  <c r="A809" i="1"/>
  <c r="G808" i="1"/>
  <c r="F808" i="1"/>
  <c r="E808" i="1"/>
  <c r="D808" i="1"/>
  <c r="B808" i="1"/>
  <c r="A808" i="1"/>
  <c r="G807" i="1"/>
  <c r="F807" i="1"/>
  <c r="E807" i="1"/>
  <c r="D807" i="1"/>
  <c r="B807" i="1"/>
  <c r="A807" i="1"/>
  <c r="G806" i="1"/>
  <c r="F806" i="1"/>
  <c r="E806" i="1"/>
  <c r="D806" i="1"/>
  <c r="B806" i="1"/>
  <c r="A806" i="1"/>
  <c r="G805" i="1"/>
  <c r="F805" i="1"/>
  <c r="E805" i="1"/>
  <c r="D805" i="1"/>
  <c r="B805" i="1"/>
  <c r="A805" i="1"/>
  <c r="G804" i="1"/>
  <c r="F804" i="1"/>
  <c r="E804" i="1"/>
  <c r="D804" i="1"/>
  <c r="B804" i="1"/>
  <c r="A804" i="1"/>
  <c r="G803" i="1"/>
  <c r="F803" i="1"/>
  <c r="E803" i="1"/>
  <c r="D803" i="1"/>
  <c r="B803" i="1"/>
  <c r="A803" i="1"/>
  <c r="G802" i="1"/>
  <c r="F802" i="1"/>
  <c r="E802" i="1"/>
  <c r="D802" i="1"/>
  <c r="B802" i="1"/>
  <c r="A802" i="1"/>
  <c r="G801" i="1"/>
  <c r="F801" i="1"/>
  <c r="E801" i="1"/>
  <c r="D801" i="1"/>
  <c r="B801" i="1"/>
  <c r="A801" i="1"/>
  <c r="G800" i="1"/>
  <c r="F800" i="1"/>
  <c r="E800" i="1"/>
  <c r="D800" i="1"/>
  <c r="B800" i="1"/>
  <c r="A800" i="1"/>
  <c r="G799" i="1"/>
  <c r="F799" i="1"/>
  <c r="E799" i="1"/>
  <c r="D799" i="1"/>
  <c r="B799" i="1"/>
  <c r="A799" i="1"/>
  <c r="G798" i="1"/>
  <c r="F798" i="1"/>
  <c r="E798" i="1"/>
  <c r="D798" i="1"/>
  <c r="B798" i="1"/>
  <c r="A798" i="1"/>
  <c r="G797" i="1"/>
  <c r="F797" i="1"/>
  <c r="E797" i="1"/>
  <c r="D797" i="1"/>
  <c r="B797" i="1"/>
  <c r="A797" i="1"/>
  <c r="G796" i="1"/>
  <c r="F796" i="1"/>
  <c r="E796" i="1"/>
  <c r="D796" i="1"/>
  <c r="B796" i="1"/>
  <c r="A796" i="1"/>
  <c r="G795" i="1"/>
  <c r="F795" i="1"/>
  <c r="E795" i="1"/>
  <c r="D795" i="1"/>
  <c r="B795" i="1"/>
  <c r="A795" i="1"/>
  <c r="G794" i="1"/>
  <c r="F794" i="1"/>
  <c r="E794" i="1"/>
  <c r="D794" i="1"/>
  <c r="B794" i="1"/>
  <c r="A794" i="1"/>
  <c r="G793" i="1"/>
  <c r="F793" i="1"/>
  <c r="E793" i="1"/>
  <c r="D793" i="1"/>
  <c r="B793" i="1"/>
  <c r="A793" i="1"/>
  <c r="G792" i="1"/>
  <c r="F792" i="1"/>
  <c r="E792" i="1"/>
  <c r="D792" i="1"/>
  <c r="B792" i="1"/>
  <c r="A792" i="1"/>
  <c r="G791" i="1"/>
  <c r="F791" i="1"/>
  <c r="E791" i="1"/>
  <c r="D791" i="1"/>
  <c r="B791" i="1"/>
  <c r="A791" i="1"/>
  <c r="G790" i="1"/>
  <c r="F790" i="1"/>
  <c r="E790" i="1"/>
  <c r="D790" i="1"/>
  <c r="B790" i="1"/>
  <c r="A790" i="1"/>
  <c r="G789" i="1"/>
  <c r="F789" i="1"/>
  <c r="E789" i="1"/>
  <c r="D789" i="1"/>
  <c r="B789" i="1"/>
  <c r="A789" i="1"/>
  <c r="G788" i="1"/>
  <c r="F788" i="1"/>
  <c r="E788" i="1"/>
  <c r="D788" i="1"/>
  <c r="B788" i="1"/>
  <c r="A788" i="1"/>
  <c r="G787" i="1"/>
  <c r="F787" i="1"/>
  <c r="E787" i="1"/>
  <c r="D787" i="1"/>
  <c r="B787" i="1"/>
  <c r="A787" i="1"/>
  <c r="G786" i="1"/>
  <c r="F786" i="1"/>
  <c r="E786" i="1"/>
  <c r="D786" i="1"/>
  <c r="B786" i="1"/>
  <c r="A786" i="1"/>
  <c r="G785" i="1"/>
  <c r="F785" i="1"/>
  <c r="E785" i="1"/>
  <c r="D785" i="1"/>
  <c r="B785" i="1"/>
  <c r="A785" i="1"/>
  <c r="G784" i="1"/>
  <c r="F784" i="1"/>
  <c r="E784" i="1"/>
  <c r="D784" i="1"/>
  <c r="B784" i="1"/>
  <c r="A784" i="1"/>
  <c r="G783" i="1"/>
  <c r="F783" i="1"/>
  <c r="E783" i="1"/>
  <c r="D783" i="1"/>
  <c r="B783" i="1"/>
  <c r="A783" i="1"/>
  <c r="G782" i="1"/>
  <c r="F782" i="1"/>
  <c r="E782" i="1"/>
  <c r="D782" i="1"/>
  <c r="B782" i="1"/>
  <c r="A782" i="1"/>
  <c r="G781" i="1"/>
  <c r="F781" i="1"/>
  <c r="E781" i="1"/>
  <c r="D781" i="1"/>
  <c r="B781" i="1"/>
  <c r="A781" i="1"/>
  <c r="G780" i="1"/>
  <c r="F780" i="1"/>
  <c r="E780" i="1"/>
  <c r="D780" i="1"/>
  <c r="B780" i="1"/>
  <c r="A780" i="1"/>
  <c r="G779" i="1"/>
  <c r="F779" i="1"/>
  <c r="E779" i="1"/>
  <c r="D779" i="1"/>
  <c r="B779" i="1"/>
  <c r="A779" i="1"/>
  <c r="G778" i="1"/>
  <c r="F778" i="1"/>
  <c r="E778" i="1"/>
  <c r="D778" i="1"/>
  <c r="B778" i="1"/>
  <c r="A778" i="1"/>
  <c r="G777" i="1"/>
  <c r="F777" i="1"/>
  <c r="E777" i="1"/>
  <c r="D777" i="1"/>
  <c r="B777" i="1"/>
  <c r="A777" i="1"/>
  <c r="G776" i="1"/>
  <c r="F776" i="1"/>
  <c r="E776" i="1"/>
  <c r="D776" i="1"/>
  <c r="B776" i="1"/>
  <c r="A776" i="1"/>
  <c r="G775" i="1"/>
  <c r="F775" i="1"/>
  <c r="E775" i="1"/>
  <c r="D775" i="1"/>
  <c r="B775" i="1"/>
  <c r="A775" i="1"/>
  <c r="G774" i="1"/>
  <c r="F774" i="1"/>
  <c r="E774" i="1"/>
  <c r="D774" i="1"/>
  <c r="B774" i="1"/>
  <c r="A774" i="1"/>
  <c r="G773" i="1"/>
  <c r="F773" i="1"/>
  <c r="E773" i="1"/>
  <c r="D773" i="1"/>
  <c r="B773" i="1"/>
  <c r="A773" i="1"/>
  <c r="G772" i="1"/>
  <c r="F772" i="1"/>
  <c r="E772" i="1"/>
  <c r="D772" i="1"/>
  <c r="B772" i="1"/>
  <c r="A772" i="1"/>
  <c r="G771" i="1"/>
  <c r="F771" i="1"/>
  <c r="E771" i="1"/>
  <c r="D771" i="1"/>
  <c r="B771" i="1"/>
  <c r="A771" i="1"/>
  <c r="G770" i="1"/>
  <c r="F770" i="1"/>
  <c r="E770" i="1"/>
  <c r="D770" i="1"/>
  <c r="B770" i="1"/>
  <c r="A770" i="1"/>
  <c r="G769" i="1"/>
  <c r="F769" i="1"/>
  <c r="E769" i="1"/>
  <c r="D769" i="1"/>
  <c r="B769" i="1"/>
  <c r="A769" i="1"/>
  <c r="G768" i="1"/>
  <c r="F768" i="1"/>
  <c r="E768" i="1"/>
  <c r="D768" i="1"/>
  <c r="B768" i="1"/>
  <c r="A768" i="1"/>
  <c r="G767" i="1"/>
  <c r="F767" i="1"/>
  <c r="E767" i="1"/>
  <c r="D767" i="1"/>
  <c r="B767" i="1"/>
  <c r="A767" i="1"/>
  <c r="G766" i="1"/>
  <c r="F766" i="1"/>
  <c r="E766" i="1"/>
  <c r="D766" i="1"/>
  <c r="B766" i="1"/>
  <c r="A766" i="1"/>
  <c r="G765" i="1"/>
  <c r="F765" i="1"/>
  <c r="E765" i="1"/>
  <c r="D765" i="1"/>
  <c r="B765" i="1"/>
  <c r="A765" i="1"/>
  <c r="G764" i="1"/>
  <c r="F764" i="1"/>
  <c r="E764" i="1"/>
  <c r="D764" i="1"/>
  <c r="B764" i="1"/>
  <c r="A764" i="1"/>
  <c r="G763" i="1"/>
  <c r="F763" i="1"/>
  <c r="E763" i="1"/>
  <c r="D763" i="1"/>
  <c r="B763" i="1"/>
  <c r="A763" i="1"/>
  <c r="G762" i="1"/>
  <c r="F762" i="1"/>
  <c r="E762" i="1"/>
  <c r="D762" i="1"/>
  <c r="B762" i="1"/>
  <c r="A762" i="1"/>
  <c r="G761" i="1"/>
  <c r="F761" i="1"/>
  <c r="E761" i="1"/>
  <c r="D761" i="1"/>
  <c r="B761" i="1"/>
  <c r="A761" i="1"/>
  <c r="G760" i="1"/>
  <c r="F760" i="1"/>
  <c r="E760" i="1"/>
  <c r="D760" i="1"/>
  <c r="B760" i="1"/>
  <c r="A760" i="1"/>
  <c r="G759" i="1"/>
  <c r="F759" i="1"/>
  <c r="E759" i="1"/>
  <c r="D759" i="1"/>
  <c r="B759" i="1"/>
  <c r="A759" i="1"/>
  <c r="G758" i="1"/>
  <c r="F758" i="1"/>
  <c r="E758" i="1"/>
  <c r="D758" i="1"/>
  <c r="B758" i="1"/>
  <c r="A758" i="1"/>
  <c r="G757" i="1"/>
  <c r="F757" i="1"/>
  <c r="E757" i="1"/>
  <c r="D757" i="1"/>
  <c r="B757" i="1"/>
  <c r="A757" i="1"/>
  <c r="G756" i="1"/>
  <c r="F756" i="1"/>
  <c r="E756" i="1"/>
  <c r="D756" i="1"/>
  <c r="B756" i="1"/>
  <c r="A756" i="1"/>
  <c r="G755" i="1"/>
  <c r="F755" i="1"/>
  <c r="E755" i="1"/>
  <c r="D755" i="1"/>
  <c r="B755" i="1"/>
  <c r="A755" i="1"/>
  <c r="G754" i="1"/>
  <c r="F754" i="1"/>
  <c r="E754" i="1"/>
  <c r="D754" i="1"/>
  <c r="B754" i="1"/>
  <c r="A754" i="1"/>
  <c r="G753" i="1"/>
  <c r="F753" i="1"/>
  <c r="E753" i="1"/>
  <c r="D753" i="1"/>
  <c r="B753" i="1"/>
  <c r="A753" i="1"/>
  <c r="G752" i="1"/>
  <c r="F752" i="1"/>
  <c r="E752" i="1"/>
  <c r="D752" i="1"/>
  <c r="B752" i="1"/>
  <c r="A752" i="1"/>
  <c r="G751" i="1"/>
  <c r="F751" i="1"/>
  <c r="E751" i="1"/>
  <c r="D751" i="1"/>
  <c r="B751" i="1"/>
  <c r="A751" i="1"/>
  <c r="G750" i="1"/>
  <c r="F750" i="1"/>
  <c r="E750" i="1"/>
  <c r="D750" i="1"/>
  <c r="B750" i="1"/>
  <c r="A750" i="1"/>
  <c r="G749" i="1"/>
  <c r="F749" i="1"/>
  <c r="E749" i="1"/>
  <c r="D749" i="1"/>
  <c r="B749" i="1"/>
  <c r="A749" i="1"/>
  <c r="G748" i="1"/>
  <c r="F748" i="1"/>
  <c r="E748" i="1"/>
  <c r="D748" i="1"/>
  <c r="B748" i="1"/>
  <c r="A748" i="1"/>
  <c r="G747" i="1"/>
  <c r="F747" i="1"/>
  <c r="E747" i="1"/>
  <c r="D747" i="1"/>
  <c r="B747" i="1"/>
  <c r="A747" i="1"/>
  <c r="G746" i="1"/>
  <c r="F746" i="1"/>
  <c r="E746" i="1"/>
  <c r="D746" i="1"/>
  <c r="B746" i="1"/>
  <c r="A746" i="1"/>
  <c r="G745" i="1"/>
  <c r="F745" i="1"/>
  <c r="E745" i="1"/>
  <c r="D745" i="1"/>
  <c r="B745" i="1"/>
  <c r="A745" i="1"/>
  <c r="G744" i="1"/>
  <c r="F744" i="1"/>
  <c r="E744" i="1"/>
  <c r="D744" i="1"/>
  <c r="B744" i="1"/>
  <c r="A744" i="1"/>
  <c r="G743" i="1"/>
  <c r="F743" i="1"/>
  <c r="E743" i="1"/>
  <c r="D743" i="1"/>
  <c r="B743" i="1"/>
  <c r="A743" i="1"/>
  <c r="G742" i="1"/>
  <c r="F742" i="1"/>
  <c r="E742" i="1"/>
  <c r="D742" i="1"/>
  <c r="B742" i="1"/>
  <c r="A742" i="1"/>
  <c r="G741" i="1"/>
  <c r="F741" i="1"/>
  <c r="E741" i="1"/>
  <c r="D741" i="1"/>
  <c r="B741" i="1"/>
  <c r="A741" i="1"/>
  <c r="G740" i="1"/>
  <c r="F740" i="1"/>
  <c r="E740" i="1"/>
  <c r="D740" i="1"/>
  <c r="B740" i="1"/>
  <c r="A740" i="1"/>
  <c r="G739" i="1"/>
  <c r="F739" i="1"/>
  <c r="E739" i="1"/>
  <c r="D739" i="1"/>
  <c r="B739" i="1"/>
  <c r="A739" i="1"/>
  <c r="G738" i="1"/>
  <c r="F738" i="1"/>
  <c r="E738" i="1"/>
  <c r="D738" i="1"/>
  <c r="B738" i="1"/>
  <c r="A738" i="1"/>
  <c r="G737" i="1"/>
  <c r="F737" i="1"/>
  <c r="E737" i="1"/>
  <c r="D737" i="1"/>
  <c r="B737" i="1"/>
  <c r="A737" i="1"/>
  <c r="G736" i="1"/>
  <c r="F736" i="1"/>
  <c r="E736" i="1"/>
  <c r="D736" i="1"/>
  <c r="B736" i="1"/>
  <c r="A736" i="1"/>
  <c r="G735" i="1"/>
  <c r="F735" i="1"/>
  <c r="E735" i="1"/>
  <c r="D735" i="1"/>
  <c r="B735" i="1"/>
  <c r="A735" i="1"/>
  <c r="G734" i="1"/>
  <c r="F734" i="1"/>
  <c r="E734" i="1"/>
  <c r="D734" i="1"/>
  <c r="B734" i="1"/>
  <c r="A734" i="1"/>
  <c r="G733" i="1"/>
  <c r="F733" i="1"/>
  <c r="E733" i="1"/>
  <c r="D733" i="1"/>
  <c r="B733" i="1"/>
  <c r="A733" i="1"/>
  <c r="G732" i="1"/>
  <c r="F732" i="1"/>
  <c r="E732" i="1"/>
  <c r="D732" i="1"/>
  <c r="B732" i="1"/>
  <c r="A732" i="1"/>
  <c r="G731" i="1"/>
  <c r="F731" i="1"/>
  <c r="E731" i="1"/>
  <c r="D731" i="1"/>
  <c r="B731" i="1"/>
  <c r="A731" i="1"/>
  <c r="G730" i="1"/>
  <c r="F730" i="1"/>
  <c r="E730" i="1"/>
  <c r="D730" i="1"/>
  <c r="B730" i="1"/>
  <c r="A730" i="1"/>
  <c r="G729" i="1"/>
  <c r="F729" i="1"/>
  <c r="E729" i="1"/>
  <c r="D729" i="1"/>
  <c r="B729" i="1"/>
  <c r="A729" i="1"/>
  <c r="G728" i="1"/>
  <c r="F728" i="1"/>
  <c r="E728" i="1"/>
  <c r="D728" i="1"/>
  <c r="B728" i="1"/>
  <c r="A728" i="1"/>
  <c r="G727" i="1"/>
  <c r="F727" i="1"/>
  <c r="E727" i="1"/>
  <c r="D727" i="1"/>
  <c r="B727" i="1"/>
  <c r="A727" i="1"/>
  <c r="G726" i="1"/>
  <c r="F726" i="1"/>
  <c r="E726" i="1"/>
  <c r="D726" i="1"/>
  <c r="B726" i="1"/>
  <c r="A726" i="1"/>
  <c r="G725" i="1"/>
  <c r="F725" i="1"/>
  <c r="E725" i="1"/>
  <c r="D725" i="1"/>
  <c r="B725" i="1"/>
  <c r="A725" i="1"/>
  <c r="G724" i="1"/>
  <c r="F724" i="1"/>
  <c r="E724" i="1"/>
  <c r="D724" i="1"/>
  <c r="B724" i="1"/>
  <c r="A724" i="1"/>
  <c r="G723" i="1"/>
  <c r="F723" i="1"/>
  <c r="E723" i="1"/>
  <c r="D723" i="1"/>
  <c r="B723" i="1"/>
  <c r="A723" i="1"/>
  <c r="G722" i="1"/>
  <c r="F722" i="1"/>
  <c r="E722" i="1"/>
  <c r="D722" i="1"/>
  <c r="B722" i="1"/>
  <c r="A722" i="1"/>
  <c r="G721" i="1"/>
  <c r="F721" i="1"/>
  <c r="E721" i="1"/>
  <c r="D721" i="1"/>
  <c r="B721" i="1"/>
  <c r="A721" i="1"/>
  <c r="G720" i="1"/>
  <c r="F720" i="1"/>
  <c r="E720" i="1"/>
  <c r="D720" i="1"/>
  <c r="B720" i="1"/>
  <c r="A720" i="1"/>
  <c r="G719" i="1"/>
  <c r="F719" i="1"/>
  <c r="E719" i="1"/>
  <c r="D719" i="1"/>
  <c r="B719" i="1"/>
  <c r="A719" i="1"/>
  <c r="G718" i="1"/>
  <c r="F718" i="1"/>
  <c r="E718" i="1"/>
  <c r="D718" i="1"/>
  <c r="B718" i="1"/>
  <c r="A718" i="1"/>
  <c r="G717" i="1"/>
  <c r="F717" i="1"/>
  <c r="E717" i="1"/>
  <c r="D717" i="1"/>
  <c r="B717" i="1"/>
  <c r="A717" i="1"/>
  <c r="G716" i="1"/>
  <c r="F716" i="1"/>
  <c r="E716" i="1"/>
  <c r="D716" i="1"/>
  <c r="B716" i="1"/>
  <c r="A716" i="1"/>
  <c r="G715" i="1"/>
  <c r="F715" i="1"/>
  <c r="E715" i="1"/>
  <c r="D715" i="1"/>
  <c r="B715" i="1"/>
  <c r="A715" i="1"/>
  <c r="G714" i="1"/>
  <c r="F714" i="1"/>
  <c r="E714" i="1"/>
  <c r="D714" i="1"/>
  <c r="B714" i="1"/>
  <c r="A714" i="1"/>
  <c r="G713" i="1"/>
  <c r="F713" i="1"/>
  <c r="E713" i="1"/>
  <c r="D713" i="1"/>
  <c r="B713" i="1"/>
  <c r="A713" i="1"/>
  <c r="G712" i="1"/>
  <c r="F712" i="1"/>
  <c r="E712" i="1"/>
  <c r="D712" i="1"/>
  <c r="B712" i="1"/>
  <c r="A712" i="1"/>
  <c r="G711" i="1"/>
  <c r="F711" i="1"/>
  <c r="E711" i="1"/>
  <c r="D711" i="1"/>
  <c r="B711" i="1"/>
  <c r="A711" i="1"/>
  <c r="G710" i="1"/>
  <c r="F710" i="1"/>
  <c r="E710" i="1"/>
  <c r="D710" i="1"/>
  <c r="B710" i="1"/>
  <c r="A710" i="1"/>
  <c r="G709" i="1"/>
  <c r="F709" i="1"/>
  <c r="E709" i="1"/>
  <c r="D709" i="1"/>
  <c r="B709" i="1"/>
  <c r="A709" i="1"/>
  <c r="G708" i="1"/>
  <c r="F708" i="1"/>
  <c r="E708" i="1"/>
  <c r="D708" i="1"/>
  <c r="B708" i="1"/>
  <c r="A708" i="1"/>
  <c r="G707" i="1"/>
  <c r="F707" i="1"/>
  <c r="E707" i="1"/>
  <c r="D707" i="1"/>
  <c r="B707" i="1"/>
  <c r="A707" i="1"/>
  <c r="G706" i="1"/>
  <c r="F706" i="1"/>
  <c r="E706" i="1"/>
  <c r="D706" i="1"/>
  <c r="B706" i="1"/>
  <c r="A706" i="1"/>
  <c r="G705" i="1"/>
  <c r="F705" i="1"/>
  <c r="E705" i="1"/>
  <c r="D705" i="1"/>
  <c r="B705" i="1"/>
  <c r="A705" i="1"/>
  <c r="G704" i="1"/>
  <c r="F704" i="1"/>
  <c r="E704" i="1"/>
  <c r="D704" i="1"/>
  <c r="B704" i="1"/>
  <c r="A704" i="1"/>
  <c r="G703" i="1"/>
  <c r="F703" i="1"/>
  <c r="E703" i="1"/>
  <c r="D703" i="1"/>
  <c r="B703" i="1"/>
  <c r="A703" i="1"/>
  <c r="G702" i="1"/>
  <c r="F702" i="1"/>
  <c r="E702" i="1"/>
  <c r="D702" i="1"/>
  <c r="B702" i="1"/>
  <c r="A702" i="1"/>
  <c r="G701" i="1"/>
  <c r="F701" i="1"/>
  <c r="E701" i="1"/>
  <c r="D701" i="1"/>
  <c r="B701" i="1"/>
  <c r="A701" i="1"/>
  <c r="G700" i="1"/>
  <c r="F700" i="1"/>
  <c r="E700" i="1"/>
  <c r="D700" i="1"/>
  <c r="B700" i="1"/>
  <c r="A700" i="1"/>
  <c r="G699" i="1"/>
  <c r="F699" i="1"/>
  <c r="E699" i="1"/>
  <c r="D699" i="1"/>
  <c r="B699" i="1"/>
  <c r="A699" i="1"/>
  <c r="G698" i="1"/>
  <c r="F698" i="1"/>
  <c r="E698" i="1"/>
  <c r="D698" i="1"/>
  <c r="B698" i="1"/>
  <c r="A698" i="1"/>
  <c r="G697" i="1"/>
  <c r="F697" i="1"/>
  <c r="E697" i="1"/>
  <c r="D697" i="1"/>
  <c r="B697" i="1"/>
  <c r="A697" i="1"/>
  <c r="G696" i="1"/>
  <c r="F696" i="1"/>
  <c r="E696" i="1"/>
  <c r="D696" i="1"/>
  <c r="B696" i="1"/>
  <c r="A696" i="1"/>
  <c r="G695" i="1"/>
  <c r="F695" i="1"/>
  <c r="E695" i="1"/>
  <c r="D695" i="1"/>
  <c r="B695" i="1"/>
  <c r="A695" i="1"/>
  <c r="G694" i="1"/>
  <c r="F694" i="1"/>
  <c r="E694" i="1"/>
  <c r="D694" i="1"/>
  <c r="B694" i="1"/>
  <c r="A694" i="1"/>
  <c r="G693" i="1"/>
  <c r="F693" i="1"/>
  <c r="E693" i="1"/>
  <c r="D693" i="1"/>
  <c r="B693" i="1"/>
  <c r="A693" i="1"/>
  <c r="G692" i="1"/>
  <c r="F692" i="1"/>
  <c r="E692" i="1"/>
  <c r="D692" i="1"/>
  <c r="B692" i="1"/>
  <c r="A692" i="1"/>
  <c r="G691" i="1"/>
  <c r="F691" i="1"/>
  <c r="E691" i="1"/>
  <c r="D691" i="1"/>
  <c r="B691" i="1"/>
  <c r="A691" i="1"/>
  <c r="G690" i="1"/>
  <c r="F690" i="1"/>
  <c r="E690" i="1"/>
  <c r="D690" i="1"/>
  <c r="B690" i="1"/>
  <c r="A690" i="1"/>
  <c r="G689" i="1"/>
  <c r="F689" i="1"/>
  <c r="E689" i="1"/>
  <c r="D689" i="1"/>
  <c r="B689" i="1"/>
  <c r="A689" i="1"/>
  <c r="G688" i="1"/>
  <c r="F688" i="1"/>
  <c r="E688" i="1"/>
  <c r="D688" i="1"/>
  <c r="B688" i="1"/>
  <c r="A688" i="1"/>
  <c r="G687" i="1"/>
  <c r="F687" i="1"/>
  <c r="E687" i="1"/>
  <c r="D687" i="1"/>
  <c r="B687" i="1"/>
  <c r="A687" i="1"/>
  <c r="G686" i="1"/>
  <c r="F686" i="1"/>
  <c r="E686" i="1"/>
  <c r="D686" i="1"/>
  <c r="B686" i="1"/>
  <c r="A686" i="1"/>
  <c r="G685" i="1"/>
  <c r="F685" i="1"/>
  <c r="E685" i="1"/>
  <c r="D685" i="1"/>
  <c r="B685" i="1"/>
  <c r="A685" i="1"/>
  <c r="G684" i="1"/>
  <c r="F684" i="1"/>
  <c r="E684" i="1"/>
  <c r="D684" i="1"/>
  <c r="B684" i="1"/>
  <c r="A684" i="1"/>
  <c r="G683" i="1"/>
  <c r="F683" i="1"/>
  <c r="E683" i="1"/>
  <c r="D683" i="1"/>
  <c r="B683" i="1"/>
  <c r="A683" i="1"/>
  <c r="G682" i="1"/>
  <c r="F682" i="1"/>
  <c r="E682" i="1"/>
  <c r="D682" i="1"/>
  <c r="B682" i="1"/>
  <c r="A682" i="1"/>
  <c r="G681" i="1"/>
  <c r="F681" i="1"/>
  <c r="E681" i="1"/>
  <c r="D681" i="1"/>
  <c r="B681" i="1"/>
  <c r="A681" i="1"/>
  <c r="G680" i="1"/>
  <c r="F680" i="1"/>
  <c r="E680" i="1"/>
  <c r="D680" i="1"/>
  <c r="B680" i="1"/>
  <c r="A680" i="1"/>
  <c r="G679" i="1"/>
  <c r="F679" i="1"/>
  <c r="E679" i="1"/>
  <c r="D679" i="1"/>
  <c r="B679" i="1"/>
  <c r="A679" i="1"/>
  <c r="G678" i="1"/>
  <c r="F678" i="1"/>
  <c r="E678" i="1"/>
  <c r="D678" i="1"/>
  <c r="B678" i="1"/>
  <c r="A678" i="1"/>
  <c r="G677" i="1"/>
  <c r="F677" i="1"/>
  <c r="E677" i="1"/>
  <c r="D677" i="1"/>
  <c r="B677" i="1"/>
  <c r="A677" i="1"/>
  <c r="G676" i="1"/>
  <c r="F676" i="1"/>
  <c r="E676" i="1"/>
  <c r="D676" i="1"/>
  <c r="B676" i="1"/>
  <c r="A676" i="1"/>
  <c r="G675" i="1"/>
  <c r="F675" i="1"/>
  <c r="E675" i="1"/>
  <c r="D675" i="1"/>
  <c r="B675" i="1"/>
  <c r="A675" i="1"/>
  <c r="G674" i="1"/>
  <c r="F674" i="1"/>
  <c r="E674" i="1"/>
  <c r="D674" i="1"/>
  <c r="B674" i="1"/>
  <c r="A674" i="1"/>
  <c r="G673" i="1"/>
  <c r="F673" i="1"/>
  <c r="E673" i="1"/>
  <c r="D673" i="1"/>
  <c r="B673" i="1"/>
  <c r="A673" i="1"/>
  <c r="G672" i="1"/>
  <c r="F672" i="1"/>
  <c r="E672" i="1"/>
  <c r="D672" i="1"/>
  <c r="B672" i="1"/>
  <c r="A672" i="1"/>
  <c r="G671" i="1"/>
  <c r="F671" i="1"/>
  <c r="E671" i="1"/>
  <c r="D671" i="1"/>
  <c r="B671" i="1"/>
  <c r="A671" i="1"/>
  <c r="G670" i="1"/>
  <c r="F670" i="1"/>
  <c r="E670" i="1"/>
  <c r="D670" i="1"/>
  <c r="B670" i="1"/>
  <c r="A670" i="1"/>
  <c r="G669" i="1"/>
  <c r="F669" i="1"/>
  <c r="E669" i="1"/>
  <c r="D669" i="1"/>
  <c r="B669" i="1"/>
  <c r="A669" i="1"/>
  <c r="G668" i="1"/>
  <c r="F668" i="1"/>
  <c r="E668" i="1"/>
  <c r="D668" i="1"/>
  <c r="B668" i="1"/>
  <c r="A668" i="1"/>
  <c r="G667" i="1"/>
  <c r="F667" i="1"/>
  <c r="E667" i="1"/>
  <c r="D667" i="1"/>
  <c r="B667" i="1"/>
  <c r="A667" i="1"/>
  <c r="G666" i="1"/>
  <c r="F666" i="1"/>
  <c r="E666" i="1"/>
  <c r="D666" i="1"/>
  <c r="B666" i="1"/>
  <c r="A666" i="1"/>
  <c r="G665" i="1"/>
  <c r="F665" i="1"/>
  <c r="E665" i="1"/>
  <c r="D665" i="1"/>
  <c r="B665" i="1"/>
  <c r="A665" i="1"/>
  <c r="G664" i="1"/>
  <c r="F664" i="1"/>
  <c r="E664" i="1"/>
  <c r="D664" i="1"/>
  <c r="B664" i="1"/>
  <c r="A664" i="1"/>
  <c r="G663" i="1"/>
  <c r="F663" i="1"/>
  <c r="E663" i="1"/>
  <c r="D663" i="1"/>
  <c r="B663" i="1"/>
  <c r="A663" i="1"/>
  <c r="G662" i="1"/>
  <c r="F662" i="1"/>
  <c r="E662" i="1"/>
  <c r="D662" i="1"/>
  <c r="B662" i="1"/>
  <c r="A662" i="1"/>
  <c r="G661" i="1"/>
  <c r="F661" i="1"/>
  <c r="E661" i="1"/>
  <c r="D661" i="1"/>
  <c r="B661" i="1"/>
  <c r="A661" i="1"/>
  <c r="G660" i="1"/>
  <c r="F660" i="1"/>
  <c r="E660" i="1"/>
  <c r="D660" i="1"/>
  <c r="B660" i="1"/>
  <c r="A660" i="1"/>
  <c r="G659" i="1"/>
  <c r="F659" i="1"/>
  <c r="E659" i="1"/>
  <c r="D659" i="1"/>
  <c r="B659" i="1"/>
  <c r="A659" i="1"/>
  <c r="G658" i="1"/>
  <c r="F658" i="1"/>
  <c r="E658" i="1"/>
  <c r="D658" i="1"/>
  <c r="B658" i="1"/>
  <c r="A658" i="1"/>
  <c r="G657" i="1"/>
  <c r="F657" i="1"/>
  <c r="E657" i="1"/>
  <c r="D657" i="1"/>
  <c r="B657" i="1"/>
  <c r="A657" i="1"/>
  <c r="G656" i="1"/>
  <c r="F656" i="1"/>
  <c r="E656" i="1"/>
  <c r="D656" i="1"/>
  <c r="B656" i="1"/>
  <c r="A656" i="1"/>
  <c r="G655" i="1"/>
  <c r="F655" i="1"/>
  <c r="E655" i="1"/>
  <c r="D655" i="1"/>
  <c r="B655" i="1"/>
  <c r="A655" i="1"/>
  <c r="G654" i="1"/>
  <c r="F654" i="1"/>
  <c r="E654" i="1"/>
  <c r="D654" i="1"/>
  <c r="B654" i="1"/>
  <c r="A654" i="1"/>
  <c r="G653" i="1"/>
  <c r="F653" i="1"/>
  <c r="E653" i="1"/>
  <c r="D653" i="1"/>
  <c r="B653" i="1"/>
  <c r="A653" i="1"/>
  <c r="G652" i="1"/>
  <c r="F652" i="1"/>
  <c r="E652" i="1"/>
  <c r="D652" i="1"/>
  <c r="B652" i="1"/>
  <c r="A652" i="1"/>
  <c r="G651" i="1"/>
  <c r="F651" i="1"/>
  <c r="E651" i="1"/>
  <c r="D651" i="1"/>
  <c r="B651" i="1"/>
  <c r="A651" i="1"/>
  <c r="G650" i="1"/>
  <c r="F650" i="1"/>
  <c r="E650" i="1"/>
  <c r="D650" i="1"/>
  <c r="B650" i="1"/>
  <c r="A650" i="1"/>
  <c r="G649" i="1"/>
  <c r="F649" i="1"/>
  <c r="E649" i="1"/>
  <c r="D649" i="1"/>
  <c r="B649" i="1"/>
  <c r="A649" i="1"/>
  <c r="G648" i="1"/>
  <c r="F648" i="1"/>
  <c r="E648" i="1"/>
  <c r="D648" i="1"/>
  <c r="B648" i="1"/>
  <c r="A648" i="1"/>
  <c r="G647" i="1"/>
  <c r="F647" i="1"/>
  <c r="E647" i="1"/>
  <c r="D647" i="1"/>
  <c r="B647" i="1"/>
  <c r="A647" i="1"/>
  <c r="G646" i="1"/>
  <c r="F646" i="1"/>
  <c r="E646" i="1"/>
  <c r="D646" i="1"/>
  <c r="B646" i="1"/>
  <c r="A646" i="1"/>
  <c r="G645" i="1"/>
  <c r="F645" i="1"/>
  <c r="E645" i="1"/>
  <c r="D645" i="1"/>
  <c r="B645" i="1"/>
  <c r="A645" i="1"/>
  <c r="G644" i="1"/>
  <c r="F644" i="1"/>
  <c r="E644" i="1"/>
  <c r="D644" i="1"/>
  <c r="B644" i="1"/>
  <c r="A644" i="1"/>
  <c r="G643" i="1"/>
  <c r="F643" i="1"/>
  <c r="E643" i="1"/>
  <c r="D643" i="1"/>
  <c r="B643" i="1"/>
  <c r="A643" i="1"/>
  <c r="G642" i="1"/>
  <c r="F642" i="1"/>
  <c r="E642" i="1"/>
  <c r="D642" i="1"/>
  <c r="B642" i="1"/>
  <c r="A642" i="1"/>
  <c r="G641" i="1"/>
  <c r="F641" i="1"/>
  <c r="E641" i="1"/>
  <c r="D641" i="1"/>
  <c r="B641" i="1"/>
  <c r="A641" i="1"/>
  <c r="G640" i="1"/>
  <c r="F640" i="1"/>
  <c r="E640" i="1"/>
  <c r="D640" i="1"/>
  <c r="B640" i="1"/>
  <c r="A640" i="1"/>
  <c r="G639" i="1"/>
  <c r="F639" i="1"/>
  <c r="E639" i="1"/>
  <c r="D639" i="1"/>
  <c r="B639" i="1"/>
  <c r="A639" i="1"/>
  <c r="G638" i="1"/>
  <c r="F638" i="1"/>
  <c r="E638" i="1"/>
  <c r="D638" i="1"/>
  <c r="B638" i="1"/>
  <c r="A638" i="1"/>
  <c r="G637" i="1"/>
  <c r="F637" i="1"/>
  <c r="E637" i="1"/>
  <c r="D637" i="1"/>
  <c r="B637" i="1"/>
  <c r="A637" i="1"/>
  <c r="G636" i="1"/>
  <c r="F636" i="1"/>
  <c r="E636" i="1"/>
  <c r="D636" i="1"/>
  <c r="B636" i="1"/>
  <c r="A636" i="1"/>
  <c r="G635" i="1"/>
  <c r="F635" i="1"/>
  <c r="E635" i="1"/>
  <c r="D635" i="1"/>
  <c r="B635" i="1"/>
  <c r="A635" i="1"/>
  <c r="G634" i="1"/>
  <c r="F634" i="1"/>
  <c r="E634" i="1"/>
  <c r="D634" i="1"/>
  <c r="B634" i="1"/>
  <c r="A634" i="1"/>
  <c r="G633" i="1"/>
  <c r="F633" i="1"/>
  <c r="E633" i="1"/>
  <c r="D633" i="1"/>
  <c r="B633" i="1"/>
  <c r="A633" i="1"/>
  <c r="G632" i="1"/>
  <c r="F632" i="1"/>
  <c r="E632" i="1"/>
  <c r="D632" i="1"/>
  <c r="B632" i="1"/>
  <c r="A632" i="1"/>
  <c r="G631" i="1"/>
  <c r="F631" i="1"/>
  <c r="E631" i="1"/>
  <c r="D631" i="1"/>
  <c r="B631" i="1"/>
  <c r="A631" i="1"/>
  <c r="G630" i="1"/>
  <c r="F630" i="1"/>
  <c r="E630" i="1"/>
  <c r="D630" i="1"/>
  <c r="B630" i="1"/>
  <c r="A630" i="1"/>
  <c r="G629" i="1"/>
  <c r="F629" i="1"/>
  <c r="E629" i="1"/>
  <c r="D629" i="1"/>
  <c r="B629" i="1"/>
  <c r="A629" i="1"/>
  <c r="G628" i="1"/>
  <c r="F628" i="1"/>
  <c r="E628" i="1"/>
  <c r="D628" i="1"/>
  <c r="B628" i="1"/>
  <c r="A628" i="1"/>
  <c r="G627" i="1"/>
  <c r="F627" i="1"/>
  <c r="E627" i="1"/>
  <c r="D627" i="1"/>
  <c r="B627" i="1"/>
  <c r="A627" i="1"/>
  <c r="G626" i="1"/>
  <c r="F626" i="1"/>
  <c r="E626" i="1"/>
  <c r="D626" i="1"/>
  <c r="B626" i="1"/>
  <c r="A626" i="1"/>
  <c r="G625" i="1"/>
  <c r="F625" i="1"/>
  <c r="E625" i="1"/>
  <c r="D625" i="1"/>
  <c r="B625" i="1"/>
  <c r="A625" i="1"/>
  <c r="G624" i="1"/>
  <c r="F624" i="1"/>
  <c r="E624" i="1"/>
  <c r="D624" i="1"/>
  <c r="B624" i="1"/>
  <c r="A624" i="1"/>
  <c r="G623" i="1"/>
  <c r="F623" i="1"/>
  <c r="E623" i="1"/>
  <c r="D623" i="1"/>
  <c r="B623" i="1"/>
  <c r="A623" i="1"/>
  <c r="G622" i="1"/>
  <c r="F622" i="1"/>
  <c r="E622" i="1"/>
  <c r="D622" i="1"/>
  <c r="B622" i="1"/>
  <c r="A622" i="1"/>
  <c r="G621" i="1"/>
  <c r="F621" i="1"/>
  <c r="E621" i="1"/>
  <c r="D621" i="1"/>
  <c r="B621" i="1"/>
  <c r="A621" i="1"/>
  <c r="G620" i="1"/>
  <c r="F620" i="1"/>
  <c r="E620" i="1"/>
  <c r="D620" i="1"/>
  <c r="B620" i="1"/>
  <c r="A620" i="1"/>
  <c r="G619" i="1"/>
  <c r="F619" i="1"/>
  <c r="E619" i="1"/>
  <c r="D619" i="1"/>
  <c r="B619" i="1"/>
  <c r="A619" i="1"/>
  <c r="G618" i="1"/>
  <c r="F618" i="1"/>
  <c r="E618" i="1"/>
  <c r="D618" i="1"/>
  <c r="B618" i="1"/>
  <c r="A618" i="1"/>
  <c r="G617" i="1"/>
  <c r="F617" i="1"/>
  <c r="E617" i="1"/>
  <c r="D617" i="1"/>
  <c r="B617" i="1"/>
  <c r="A617" i="1"/>
  <c r="G616" i="1"/>
  <c r="F616" i="1"/>
  <c r="E616" i="1"/>
  <c r="D616" i="1"/>
  <c r="B616" i="1"/>
  <c r="A616" i="1"/>
  <c r="G615" i="1"/>
  <c r="F615" i="1"/>
  <c r="E615" i="1"/>
  <c r="D615" i="1"/>
  <c r="B615" i="1"/>
  <c r="A615" i="1"/>
  <c r="G614" i="1"/>
  <c r="F614" i="1"/>
  <c r="E614" i="1"/>
  <c r="D614" i="1"/>
  <c r="B614" i="1"/>
  <c r="A614" i="1"/>
  <c r="G613" i="1"/>
  <c r="F613" i="1"/>
  <c r="E613" i="1"/>
  <c r="D613" i="1"/>
  <c r="B613" i="1"/>
  <c r="A613" i="1"/>
  <c r="G612" i="1"/>
  <c r="F612" i="1"/>
  <c r="E612" i="1"/>
  <c r="D612" i="1"/>
  <c r="B612" i="1"/>
  <c r="A612" i="1"/>
  <c r="G611" i="1"/>
  <c r="F611" i="1"/>
  <c r="E611" i="1"/>
  <c r="D611" i="1"/>
  <c r="B611" i="1"/>
  <c r="A611" i="1"/>
  <c r="G610" i="1"/>
  <c r="F610" i="1"/>
  <c r="E610" i="1"/>
  <c r="D610" i="1"/>
  <c r="B610" i="1"/>
  <c r="A610" i="1"/>
  <c r="G609" i="1"/>
  <c r="F609" i="1"/>
  <c r="E609" i="1"/>
  <c r="D609" i="1"/>
  <c r="B609" i="1"/>
  <c r="A609" i="1"/>
  <c r="G608" i="1"/>
  <c r="F608" i="1"/>
  <c r="E608" i="1"/>
  <c r="D608" i="1"/>
  <c r="B608" i="1"/>
  <c r="A608" i="1"/>
  <c r="G607" i="1"/>
  <c r="F607" i="1"/>
  <c r="E607" i="1"/>
  <c r="D607" i="1"/>
  <c r="B607" i="1"/>
  <c r="A607" i="1"/>
  <c r="G606" i="1"/>
  <c r="F606" i="1"/>
  <c r="E606" i="1"/>
  <c r="D606" i="1"/>
  <c r="B606" i="1"/>
  <c r="A606" i="1"/>
  <c r="G605" i="1"/>
  <c r="F605" i="1"/>
  <c r="E605" i="1"/>
  <c r="D605" i="1"/>
  <c r="B605" i="1"/>
  <c r="A605" i="1"/>
  <c r="G604" i="1"/>
  <c r="F604" i="1"/>
  <c r="E604" i="1"/>
  <c r="D604" i="1"/>
  <c r="B604" i="1"/>
  <c r="A604" i="1"/>
  <c r="G603" i="1"/>
  <c r="F603" i="1"/>
  <c r="E603" i="1"/>
  <c r="D603" i="1"/>
  <c r="B603" i="1"/>
  <c r="A603" i="1"/>
  <c r="G602" i="1"/>
  <c r="F602" i="1"/>
  <c r="E602" i="1"/>
  <c r="D602" i="1"/>
  <c r="B602" i="1"/>
  <c r="A602" i="1"/>
  <c r="G601" i="1"/>
  <c r="F601" i="1"/>
  <c r="E601" i="1"/>
  <c r="D601" i="1"/>
  <c r="B601" i="1"/>
  <c r="A601" i="1"/>
  <c r="G600" i="1"/>
  <c r="F600" i="1"/>
  <c r="E600" i="1"/>
  <c r="D600" i="1"/>
  <c r="B600" i="1"/>
  <c r="A600" i="1"/>
  <c r="G599" i="1"/>
  <c r="F599" i="1"/>
  <c r="E599" i="1"/>
  <c r="D599" i="1"/>
  <c r="B599" i="1"/>
  <c r="A599" i="1"/>
  <c r="G598" i="1"/>
  <c r="F598" i="1"/>
  <c r="E598" i="1"/>
  <c r="D598" i="1"/>
  <c r="B598" i="1"/>
  <c r="A598" i="1"/>
  <c r="G597" i="1"/>
  <c r="F597" i="1"/>
  <c r="E597" i="1"/>
  <c r="D597" i="1"/>
  <c r="B597" i="1"/>
  <c r="A597" i="1"/>
  <c r="G596" i="1"/>
  <c r="F596" i="1"/>
  <c r="E596" i="1"/>
  <c r="D596" i="1"/>
  <c r="B596" i="1"/>
  <c r="A596" i="1"/>
  <c r="G595" i="1"/>
  <c r="F595" i="1"/>
  <c r="E595" i="1"/>
  <c r="D595" i="1"/>
  <c r="B595" i="1"/>
  <c r="A595" i="1"/>
  <c r="G594" i="1"/>
  <c r="F594" i="1"/>
  <c r="E594" i="1"/>
  <c r="D594" i="1"/>
  <c r="B594" i="1"/>
  <c r="A594" i="1"/>
  <c r="G593" i="1"/>
  <c r="F593" i="1"/>
  <c r="E593" i="1"/>
  <c r="D593" i="1"/>
  <c r="B593" i="1"/>
  <c r="A593" i="1"/>
  <c r="G592" i="1"/>
  <c r="F592" i="1"/>
  <c r="E592" i="1"/>
  <c r="D592" i="1"/>
  <c r="B592" i="1"/>
  <c r="A592" i="1"/>
  <c r="G591" i="1"/>
  <c r="F591" i="1"/>
  <c r="E591" i="1"/>
  <c r="D591" i="1"/>
  <c r="B591" i="1"/>
  <c r="A591" i="1"/>
  <c r="G590" i="1"/>
  <c r="F590" i="1"/>
  <c r="E590" i="1"/>
  <c r="D590" i="1"/>
  <c r="B590" i="1"/>
  <c r="A590" i="1"/>
  <c r="G589" i="1"/>
  <c r="F589" i="1"/>
  <c r="E589" i="1"/>
  <c r="D589" i="1"/>
  <c r="B589" i="1"/>
  <c r="A589" i="1"/>
  <c r="G588" i="1"/>
  <c r="F588" i="1"/>
  <c r="E588" i="1"/>
  <c r="D588" i="1"/>
  <c r="B588" i="1"/>
  <c r="A588" i="1"/>
  <c r="G587" i="1"/>
  <c r="F587" i="1"/>
  <c r="E587" i="1"/>
  <c r="D587" i="1"/>
  <c r="B587" i="1"/>
  <c r="A587" i="1"/>
  <c r="G586" i="1"/>
  <c r="F586" i="1"/>
  <c r="E586" i="1"/>
  <c r="D586" i="1"/>
  <c r="B586" i="1"/>
  <c r="A586" i="1"/>
  <c r="G585" i="1"/>
  <c r="F585" i="1"/>
  <c r="E585" i="1"/>
  <c r="D585" i="1"/>
  <c r="B585" i="1"/>
  <c r="A585" i="1"/>
  <c r="G584" i="1"/>
  <c r="F584" i="1"/>
  <c r="E584" i="1"/>
  <c r="D584" i="1"/>
  <c r="B584" i="1"/>
  <c r="A584" i="1"/>
  <c r="G583" i="1"/>
  <c r="F583" i="1"/>
  <c r="E583" i="1"/>
  <c r="D583" i="1"/>
  <c r="B583" i="1"/>
  <c r="A583" i="1"/>
  <c r="G582" i="1"/>
  <c r="F582" i="1"/>
  <c r="E582" i="1"/>
  <c r="D582" i="1"/>
  <c r="B582" i="1"/>
  <c r="A582" i="1"/>
  <c r="G581" i="1"/>
  <c r="F581" i="1"/>
  <c r="E581" i="1"/>
  <c r="D581" i="1"/>
  <c r="B581" i="1"/>
  <c r="A581" i="1"/>
  <c r="G580" i="1"/>
  <c r="F580" i="1"/>
  <c r="E580" i="1"/>
  <c r="D580" i="1"/>
  <c r="B580" i="1"/>
  <c r="A580" i="1"/>
  <c r="G579" i="1"/>
  <c r="F579" i="1"/>
  <c r="E579" i="1"/>
  <c r="D579" i="1"/>
  <c r="B579" i="1"/>
  <c r="A579" i="1"/>
  <c r="G578" i="1"/>
  <c r="F578" i="1"/>
  <c r="E578" i="1"/>
  <c r="D578" i="1"/>
  <c r="B578" i="1"/>
  <c r="A578" i="1"/>
  <c r="G577" i="1"/>
  <c r="F577" i="1"/>
  <c r="E577" i="1"/>
  <c r="D577" i="1"/>
  <c r="B577" i="1"/>
  <c r="A577" i="1"/>
  <c r="G576" i="1"/>
  <c r="F576" i="1"/>
  <c r="E576" i="1"/>
  <c r="D576" i="1"/>
  <c r="B576" i="1"/>
  <c r="A576" i="1"/>
  <c r="G575" i="1"/>
  <c r="F575" i="1"/>
  <c r="E575" i="1"/>
  <c r="D575" i="1"/>
  <c r="B575" i="1"/>
  <c r="A575" i="1"/>
  <c r="G574" i="1"/>
  <c r="F574" i="1"/>
  <c r="E574" i="1"/>
  <c r="D574" i="1"/>
  <c r="B574" i="1"/>
  <c r="A574" i="1"/>
  <c r="G573" i="1"/>
  <c r="F573" i="1"/>
  <c r="E573" i="1"/>
  <c r="D573" i="1"/>
  <c r="B573" i="1"/>
  <c r="A573" i="1"/>
  <c r="G572" i="1"/>
  <c r="F572" i="1"/>
  <c r="E572" i="1"/>
  <c r="D572" i="1"/>
  <c r="B572" i="1"/>
  <c r="A572" i="1"/>
  <c r="G571" i="1"/>
  <c r="F571" i="1"/>
  <c r="E571" i="1"/>
  <c r="D571" i="1"/>
  <c r="B571" i="1"/>
  <c r="A571" i="1"/>
  <c r="G570" i="1"/>
  <c r="F570" i="1"/>
  <c r="E570" i="1"/>
  <c r="D570" i="1"/>
  <c r="B570" i="1"/>
  <c r="A570" i="1"/>
  <c r="G569" i="1"/>
  <c r="F569" i="1"/>
  <c r="E569" i="1"/>
  <c r="D569" i="1"/>
  <c r="B569" i="1"/>
  <c r="A569" i="1"/>
  <c r="G568" i="1"/>
  <c r="F568" i="1"/>
  <c r="E568" i="1"/>
  <c r="D568" i="1"/>
  <c r="B568" i="1"/>
  <c r="A568" i="1"/>
  <c r="G567" i="1"/>
  <c r="F567" i="1"/>
  <c r="E567" i="1"/>
  <c r="D567" i="1"/>
  <c r="B567" i="1"/>
  <c r="A567" i="1"/>
  <c r="G566" i="1"/>
  <c r="F566" i="1"/>
  <c r="E566" i="1"/>
  <c r="D566" i="1"/>
  <c r="B566" i="1"/>
  <c r="A566" i="1"/>
  <c r="G565" i="1"/>
  <c r="F565" i="1"/>
  <c r="E565" i="1"/>
  <c r="D565" i="1"/>
  <c r="B565" i="1"/>
  <c r="A565" i="1"/>
  <c r="G564" i="1"/>
  <c r="F564" i="1"/>
  <c r="E564" i="1"/>
  <c r="D564" i="1"/>
  <c r="B564" i="1"/>
  <c r="A564" i="1"/>
  <c r="G563" i="1"/>
  <c r="F563" i="1"/>
  <c r="E563" i="1"/>
  <c r="D563" i="1"/>
  <c r="B563" i="1"/>
  <c r="A563" i="1"/>
  <c r="G562" i="1"/>
  <c r="F562" i="1"/>
  <c r="E562" i="1"/>
  <c r="D562" i="1"/>
  <c r="B562" i="1"/>
  <c r="A562" i="1"/>
  <c r="G561" i="1"/>
  <c r="F561" i="1"/>
  <c r="E561" i="1"/>
  <c r="D561" i="1"/>
  <c r="B561" i="1"/>
  <c r="A561" i="1"/>
  <c r="G560" i="1"/>
  <c r="F560" i="1"/>
  <c r="E560" i="1"/>
  <c r="D560" i="1"/>
  <c r="B560" i="1"/>
  <c r="A560" i="1"/>
  <c r="G559" i="1"/>
  <c r="F559" i="1"/>
  <c r="E559" i="1"/>
  <c r="D559" i="1"/>
  <c r="B559" i="1"/>
  <c r="A559" i="1"/>
  <c r="G558" i="1"/>
  <c r="F558" i="1"/>
  <c r="E558" i="1"/>
  <c r="D558" i="1"/>
  <c r="B558" i="1"/>
  <c r="A558" i="1"/>
  <c r="G557" i="1"/>
  <c r="F557" i="1"/>
  <c r="E557" i="1"/>
  <c r="D557" i="1"/>
  <c r="B557" i="1"/>
  <c r="A557" i="1"/>
  <c r="G556" i="1"/>
  <c r="F556" i="1"/>
  <c r="E556" i="1"/>
  <c r="D556" i="1"/>
  <c r="B556" i="1"/>
  <c r="A556" i="1"/>
  <c r="G555" i="1"/>
  <c r="F555" i="1"/>
  <c r="E555" i="1"/>
  <c r="D555" i="1"/>
  <c r="B555" i="1"/>
  <c r="A555" i="1"/>
  <c r="G554" i="1"/>
  <c r="F554" i="1"/>
  <c r="E554" i="1"/>
  <c r="D554" i="1"/>
  <c r="B554" i="1"/>
  <c r="A554" i="1"/>
  <c r="G553" i="1"/>
  <c r="F553" i="1"/>
  <c r="E553" i="1"/>
  <c r="D553" i="1"/>
  <c r="B553" i="1"/>
  <c r="A553" i="1"/>
  <c r="G552" i="1"/>
  <c r="F552" i="1"/>
  <c r="E552" i="1"/>
  <c r="D552" i="1"/>
  <c r="B552" i="1"/>
  <c r="A552" i="1"/>
  <c r="G551" i="1"/>
  <c r="F551" i="1"/>
  <c r="E551" i="1"/>
  <c r="D551" i="1"/>
  <c r="B551" i="1"/>
  <c r="A551" i="1"/>
  <c r="G550" i="1"/>
  <c r="F550" i="1"/>
  <c r="E550" i="1"/>
  <c r="D550" i="1"/>
  <c r="B550" i="1"/>
  <c r="A550" i="1"/>
  <c r="G549" i="1"/>
  <c r="F549" i="1"/>
  <c r="E549" i="1"/>
  <c r="D549" i="1"/>
  <c r="B549" i="1"/>
  <c r="A549" i="1"/>
  <c r="G548" i="1"/>
  <c r="F548" i="1"/>
  <c r="E548" i="1"/>
  <c r="D548" i="1"/>
  <c r="B548" i="1"/>
  <c r="A548" i="1"/>
  <c r="G547" i="1"/>
  <c r="F547" i="1"/>
  <c r="E547" i="1"/>
  <c r="D547" i="1"/>
  <c r="B547" i="1"/>
  <c r="A547" i="1"/>
  <c r="G546" i="1"/>
  <c r="F546" i="1"/>
  <c r="E546" i="1"/>
  <c r="D546" i="1"/>
  <c r="B546" i="1"/>
  <c r="A546" i="1"/>
  <c r="G545" i="1"/>
  <c r="F545" i="1"/>
  <c r="E545" i="1"/>
  <c r="D545" i="1"/>
  <c r="B545" i="1"/>
  <c r="A545" i="1"/>
  <c r="G544" i="1"/>
  <c r="F544" i="1"/>
  <c r="E544" i="1"/>
  <c r="D544" i="1"/>
  <c r="B544" i="1"/>
  <c r="A544" i="1"/>
  <c r="G543" i="1"/>
  <c r="F543" i="1"/>
  <c r="E543" i="1"/>
  <c r="D543" i="1"/>
  <c r="B543" i="1"/>
  <c r="A543" i="1"/>
  <c r="G542" i="1"/>
  <c r="F542" i="1"/>
  <c r="E542" i="1"/>
  <c r="D542" i="1"/>
  <c r="B542" i="1"/>
  <c r="A542" i="1"/>
  <c r="G541" i="1"/>
  <c r="F541" i="1"/>
  <c r="E541" i="1"/>
  <c r="D541" i="1"/>
  <c r="B541" i="1"/>
  <c r="A541" i="1"/>
  <c r="G540" i="1"/>
  <c r="F540" i="1"/>
  <c r="E540" i="1"/>
  <c r="D540" i="1"/>
  <c r="B540" i="1"/>
  <c r="A540" i="1"/>
  <c r="G539" i="1"/>
  <c r="F539" i="1"/>
  <c r="E539" i="1"/>
  <c r="D539" i="1"/>
  <c r="B539" i="1"/>
  <c r="A539" i="1"/>
  <c r="G538" i="1"/>
  <c r="F538" i="1"/>
  <c r="E538" i="1"/>
  <c r="D538" i="1"/>
  <c r="B538" i="1"/>
  <c r="A538" i="1"/>
  <c r="G537" i="1"/>
  <c r="F537" i="1"/>
  <c r="E537" i="1"/>
  <c r="D537" i="1"/>
  <c r="B537" i="1"/>
  <c r="A537" i="1"/>
  <c r="G536" i="1"/>
  <c r="F536" i="1"/>
  <c r="E536" i="1"/>
  <c r="D536" i="1"/>
  <c r="B536" i="1"/>
  <c r="A536" i="1"/>
  <c r="G535" i="1"/>
  <c r="F535" i="1"/>
  <c r="E535" i="1"/>
  <c r="D535" i="1"/>
  <c r="B535" i="1"/>
  <c r="A535" i="1"/>
  <c r="G534" i="1"/>
  <c r="F534" i="1"/>
  <c r="E534" i="1"/>
  <c r="D534" i="1"/>
  <c r="B534" i="1"/>
  <c r="A534" i="1"/>
  <c r="G533" i="1"/>
  <c r="F533" i="1"/>
  <c r="E533" i="1"/>
  <c r="D533" i="1"/>
  <c r="B533" i="1"/>
  <c r="A533" i="1"/>
  <c r="G532" i="1"/>
  <c r="F532" i="1"/>
  <c r="E532" i="1"/>
  <c r="D532" i="1"/>
  <c r="B532" i="1"/>
  <c r="A532" i="1"/>
  <c r="G531" i="1"/>
  <c r="F531" i="1"/>
  <c r="E531" i="1"/>
  <c r="D531" i="1"/>
  <c r="B531" i="1"/>
  <c r="A531" i="1"/>
  <c r="G530" i="1"/>
  <c r="F530" i="1"/>
  <c r="E530" i="1"/>
  <c r="D530" i="1"/>
  <c r="B530" i="1"/>
  <c r="A530" i="1"/>
  <c r="G529" i="1"/>
  <c r="F529" i="1"/>
  <c r="E529" i="1"/>
  <c r="D529" i="1"/>
  <c r="B529" i="1"/>
  <c r="A529" i="1"/>
  <c r="G528" i="1"/>
  <c r="F528" i="1"/>
  <c r="E528" i="1"/>
  <c r="D528" i="1"/>
  <c r="B528" i="1"/>
  <c r="A528" i="1"/>
  <c r="G527" i="1"/>
  <c r="F527" i="1"/>
  <c r="E527" i="1"/>
  <c r="D527" i="1"/>
  <c r="B527" i="1"/>
  <c r="A527" i="1"/>
  <c r="G526" i="1"/>
  <c r="F526" i="1"/>
  <c r="E526" i="1"/>
  <c r="D526" i="1"/>
  <c r="B526" i="1"/>
  <c r="A526" i="1"/>
  <c r="G525" i="1"/>
  <c r="F525" i="1"/>
  <c r="E525" i="1"/>
  <c r="D525" i="1"/>
  <c r="B525" i="1"/>
  <c r="A525" i="1"/>
  <c r="G524" i="1"/>
  <c r="F524" i="1"/>
  <c r="E524" i="1"/>
  <c r="D524" i="1"/>
  <c r="B524" i="1"/>
  <c r="A524" i="1"/>
  <c r="G523" i="1"/>
  <c r="F523" i="1"/>
  <c r="E523" i="1"/>
  <c r="D523" i="1"/>
  <c r="B523" i="1"/>
  <c r="A523" i="1"/>
  <c r="G522" i="1"/>
  <c r="F522" i="1"/>
  <c r="E522" i="1"/>
  <c r="D522" i="1"/>
  <c r="B522" i="1"/>
  <c r="A522" i="1"/>
  <c r="G521" i="1"/>
  <c r="F521" i="1"/>
  <c r="E521" i="1"/>
  <c r="D521" i="1"/>
  <c r="B521" i="1"/>
  <c r="A521" i="1"/>
  <c r="G520" i="1"/>
  <c r="F520" i="1"/>
  <c r="E520" i="1"/>
  <c r="D520" i="1"/>
  <c r="B520" i="1"/>
  <c r="A520" i="1"/>
  <c r="G519" i="1"/>
  <c r="F519" i="1"/>
  <c r="E519" i="1"/>
  <c r="D519" i="1"/>
  <c r="B519" i="1"/>
  <c r="A519" i="1"/>
  <c r="G518" i="1"/>
  <c r="F518" i="1"/>
  <c r="E518" i="1"/>
  <c r="D518" i="1"/>
  <c r="B518" i="1"/>
  <c r="A518" i="1"/>
  <c r="G517" i="1"/>
  <c r="F517" i="1"/>
  <c r="E517" i="1"/>
  <c r="D517" i="1"/>
  <c r="B517" i="1"/>
  <c r="A517" i="1"/>
  <c r="G516" i="1"/>
  <c r="F516" i="1"/>
  <c r="E516" i="1"/>
  <c r="D516" i="1"/>
  <c r="B516" i="1"/>
  <c r="A516" i="1"/>
  <c r="G515" i="1"/>
  <c r="F515" i="1"/>
  <c r="E515" i="1"/>
  <c r="D515" i="1"/>
  <c r="B515" i="1"/>
  <c r="A515" i="1"/>
  <c r="G514" i="1"/>
  <c r="F514" i="1"/>
  <c r="E514" i="1"/>
  <c r="D514" i="1"/>
  <c r="B514" i="1"/>
  <c r="A514" i="1"/>
  <c r="G513" i="1"/>
  <c r="F513" i="1"/>
  <c r="E513" i="1"/>
  <c r="D513" i="1"/>
  <c r="B513" i="1"/>
  <c r="A513" i="1"/>
  <c r="G512" i="1"/>
  <c r="F512" i="1"/>
  <c r="E512" i="1"/>
  <c r="D512" i="1"/>
  <c r="B512" i="1"/>
  <c r="A512" i="1"/>
  <c r="G511" i="1"/>
  <c r="F511" i="1"/>
  <c r="E511" i="1"/>
  <c r="D511" i="1"/>
  <c r="B511" i="1"/>
  <c r="A511" i="1"/>
  <c r="G510" i="1"/>
  <c r="F510" i="1"/>
  <c r="E510" i="1"/>
  <c r="D510" i="1"/>
  <c r="B510" i="1"/>
  <c r="A510" i="1"/>
  <c r="G509" i="1"/>
  <c r="F509" i="1"/>
  <c r="E509" i="1"/>
  <c r="D509" i="1"/>
  <c r="B509" i="1"/>
  <c r="A509" i="1"/>
  <c r="G508" i="1"/>
  <c r="F508" i="1"/>
  <c r="E508" i="1"/>
  <c r="D508" i="1"/>
  <c r="B508" i="1"/>
  <c r="A508" i="1"/>
  <c r="G507" i="1"/>
  <c r="F507" i="1"/>
  <c r="E507" i="1"/>
  <c r="D507" i="1"/>
  <c r="B507" i="1"/>
  <c r="A507" i="1"/>
  <c r="G506" i="1"/>
  <c r="F506" i="1"/>
  <c r="E506" i="1"/>
  <c r="D506" i="1"/>
  <c r="B506" i="1"/>
  <c r="A506" i="1"/>
  <c r="G505" i="1"/>
  <c r="F505" i="1"/>
  <c r="E505" i="1"/>
  <c r="D505" i="1"/>
  <c r="B505" i="1"/>
  <c r="A505" i="1"/>
  <c r="G504" i="1"/>
  <c r="F504" i="1"/>
  <c r="E504" i="1"/>
  <c r="D504" i="1"/>
  <c r="B504" i="1"/>
  <c r="A504" i="1"/>
  <c r="G503" i="1"/>
  <c r="F503" i="1"/>
  <c r="E503" i="1"/>
  <c r="D503" i="1"/>
  <c r="B503" i="1"/>
  <c r="A503" i="1"/>
  <c r="G502" i="1"/>
  <c r="F502" i="1"/>
  <c r="E502" i="1"/>
  <c r="D502" i="1"/>
  <c r="B502" i="1"/>
  <c r="A502" i="1"/>
  <c r="G501" i="1"/>
  <c r="F501" i="1"/>
  <c r="E501" i="1"/>
  <c r="D501" i="1"/>
  <c r="B501" i="1"/>
  <c r="A501" i="1"/>
  <c r="G500" i="1"/>
  <c r="F500" i="1"/>
  <c r="E500" i="1"/>
  <c r="D500" i="1"/>
  <c r="B500" i="1"/>
  <c r="A500" i="1"/>
  <c r="G499" i="1"/>
  <c r="F499" i="1"/>
  <c r="E499" i="1"/>
  <c r="D499" i="1"/>
  <c r="B499" i="1"/>
  <c r="A499" i="1"/>
  <c r="G498" i="1"/>
  <c r="F498" i="1"/>
  <c r="E498" i="1"/>
  <c r="D498" i="1"/>
  <c r="B498" i="1"/>
  <c r="A498" i="1"/>
  <c r="G497" i="1"/>
  <c r="F497" i="1"/>
  <c r="E497" i="1"/>
  <c r="D497" i="1"/>
  <c r="B497" i="1"/>
  <c r="A497" i="1"/>
  <c r="G496" i="1"/>
  <c r="F496" i="1"/>
  <c r="E496" i="1"/>
  <c r="D496" i="1"/>
  <c r="B496" i="1"/>
  <c r="A496" i="1"/>
  <c r="G495" i="1"/>
  <c r="F495" i="1"/>
  <c r="E495" i="1"/>
  <c r="D495" i="1"/>
  <c r="B495" i="1"/>
  <c r="A495" i="1"/>
  <c r="G494" i="1"/>
  <c r="F494" i="1"/>
  <c r="E494" i="1"/>
  <c r="D494" i="1"/>
  <c r="B494" i="1"/>
  <c r="A494" i="1"/>
  <c r="G493" i="1"/>
  <c r="F493" i="1"/>
  <c r="E493" i="1"/>
  <c r="D493" i="1"/>
  <c r="B493" i="1"/>
  <c r="A493" i="1"/>
  <c r="G492" i="1"/>
  <c r="F492" i="1"/>
  <c r="E492" i="1"/>
  <c r="D492" i="1"/>
  <c r="B492" i="1"/>
  <c r="A492" i="1"/>
  <c r="G491" i="1"/>
  <c r="F491" i="1"/>
  <c r="E491" i="1"/>
  <c r="D491" i="1"/>
  <c r="B491" i="1"/>
  <c r="A491" i="1"/>
  <c r="G490" i="1"/>
  <c r="F490" i="1"/>
  <c r="E490" i="1"/>
  <c r="D490" i="1"/>
  <c r="B490" i="1"/>
  <c r="A490" i="1"/>
  <c r="G489" i="1"/>
  <c r="F489" i="1"/>
  <c r="E489" i="1"/>
  <c r="D489" i="1"/>
  <c r="B489" i="1"/>
  <c r="A489" i="1"/>
  <c r="G488" i="1"/>
  <c r="F488" i="1"/>
  <c r="E488" i="1"/>
  <c r="D488" i="1"/>
  <c r="B488" i="1"/>
  <c r="A488" i="1"/>
  <c r="G487" i="1"/>
  <c r="F487" i="1"/>
  <c r="E487" i="1"/>
  <c r="D487" i="1"/>
  <c r="B487" i="1"/>
  <c r="A487" i="1"/>
  <c r="G486" i="1"/>
  <c r="F486" i="1"/>
  <c r="E486" i="1"/>
  <c r="D486" i="1"/>
  <c r="B486" i="1"/>
  <c r="A486" i="1"/>
  <c r="G485" i="1"/>
  <c r="F485" i="1"/>
  <c r="E485" i="1"/>
  <c r="D485" i="1"/>
  <c r="B485" i="1"/>
  <c r="A485" i="1"/>
  <c r="G484" i="1"/>
  <c r="F484" i="1"/>
  <c r="E484" i="1"/>
  <c r="D484" i="1"/>
  <c r="B484" i="1"/>
  <c r="A484" i="1"/>
  <c r="G483" i="1"/>
  <c r="F483" i="1"/>
  <c r="E483" i="1"/>
  <c r="D483" i="1"/>
  <c r="B483" i="1"/>
  <c r="A483" i="1"/>
  <c r="G482" i="1"/>
  <c r="F482" i="1"/>
  <c r="E482" i="1"/>
  <c r="D482" i="1"/>
  <c r="B482" i="1"/>
  <c r="A482" i="1"/>
  <c r="G481" i="1"/>
  <c r="F481" i="1"/>
  <c r="E481" i="1"/>
  <c r="D481" i="1"/>
  <c r="B481" i="1"/>
  <c r="A481" i="1"/>
  <c r="G480" i="1"/>
  <c r="F480" i="1"/>
  <c r="E480" i="1"/>
  <c r="D480" i="1"/>
  <c r="B480" i="1"/>
  <c r="A480" i="1"/>
  <c r="G479" i="1"/>
  <c r="F479" i="1"/>
  <c r="E479" i="1"/>
  <c r="D479" i="1"/>
  <c r="B479" i="1"/>
  <c r="A479" i="1"/>
  <c r="G478" i="1"/>
  <c r="F478" i="1"/>
  <c r="E478" i="1"/>
  <c r="D478" i="1"/>
  <c r="B478" i="1"/>
  <c r="A478" i="1"/>
  <c r="G477" i="1"/>
  <c r="F477" i="1"/>
  <c r="E477" i="1"/>
  <c r="D477" i="1"/>
  <c r="B477" i="1"/>
  <c r="A477" i="1"/>
  <c r="G476" i="1"/>
  <c r="F476" i="1"/>
  <c r="E476" i="1"/>
  <c r="D476" i="1"/>
  <c r="B476" i="1"/>
  <c r="A476" i="1"/>
  <c r="G475" i="1"/>
  <c r="F475" i="1"/>
  <c r="E475" i="1"/>
  <c r="D475" i="1"/>
  <c r="B475" i="1"/>
  <c r="A475" i="1"/>
  <c r="G474" i="1"/>
  <c r="F474" i="1"/>
  <c r="E474" i="1"/>
  <c r="D474" i="1"/>
  <c r="B474" i="1"/>
  <c r="A474" i="1"/>
  <c r="G473" i="1"/>
  <c r="F473" i="1"/>
  <c r="E473" i="1"/>
  <c r="D473" i="1"/>
  <c r="B473" i="1"/>
  <c r="A473" i="1"/>
  <c r="G472" i="1"/>
  <c r="F472" i="1"/>
  <c r="E472" i="1"/>
  <c r="D472" i="1"/>
  <c r="B472" i="1"/>
  <c r="A472" i="1"/>
  <c r="G471" i="1"/>
  <c r="F471" i="1"/>
  <c r="E471" i="1"/>
  <c r="D471" i="1"/>
  <c r="B471" i="1"/>
  <c r="A471" i="1"/>
  <c r="G470" i="1"/>
  <c r="F470" i="1"/>
  <c r="E470" i="1"/>
  <c r="D470" i="1"/>
  <c r="B470" i="1"/>
  <c r="A470" i="1"/>
  <c r="G469" i="1"/>
  <c r="F469" i="1"/>
  <c r="E469" i="1"/>
  <c r="D469" i="1"/>
  <c r="B469" i="1"/>
  <c r="A469" i="1"/>
  <c r="G468" i="1"/>
  <c r="F468" i="1"/>
  <c r="E468" i="1"/>
  <c r="D468" i="1"/>
  <c r="B468" i="1"/>
  <c r="A468" i="1"/>
  <c r="G467" i="1"/>
  <c r="F467" i="1"/>
  <c r="E467" i="1"/>
  <c r="D467" i="1"/>
  <c r="B467" i="1"/>
  <c r="A467" i="1"/>
  <c r="G466" i="1"/>
  <c r="F466" i="1"/>
  <c r="E466" i="1"/>
  <c r="D466" i="1"/>
  <c r="B466" i="1"/>
  <c r="A466" i="1"/>
  <c r="G465" i="1"/>
  <c r="F465" i="1"/>
  <c r="E465" i="1"/>
  <c r="D465" i="1"/>
  <c r="B465" i="1"/>
  <c r="A465" i="1"/>
  <c r="G464" i="1"/>
  <c r="F464" i="1"/>
  <c r="E464" i="1"/>
  <c r="D464" i="1"/>
  <c r="B464" i="1"/>
  <c r="A464" i="1"/>
  <c r="G463" i="1"/>
  <c r="F463" i="1"/>
  <c r="E463" i="1"/>
  <c r="D463" i="1"/>
  <c r="B463" i="1"/>
  <c r="A463" i="1"/>
  <c r="G462" i="1"/>
  <c r="F462" i="1"/>
  <c r="E462" i="1"/>
  <c r="D462" i="1"/>
  <c r="B462" i="1"/>
  <c r="A462" i="1"/>
  <c r="G461" i="1"/>
  <c r="F461" i="1"/>
  <c r="E461" i="1"/>
  <c r="D461" i="1"/>
  <c r="B461" i="1"/>
  <c r="A461" i="1"/>
  <c r="G460" i="1"/>
  <c r="F460" i="1"/>
  <c r="E460" i="1"/>
  <c r="D460" i="1"/>
  <c r="B460" i="1"/>
  <c r="A460" i="1"/>
  <c r="G459" i="1"/>
  <c r="F459" i="1"/>
  <c r="E459" i="1"/>
  <c r="D459" i="1"/>
  <c r="B459" i="1"/>
  <c r="A459" i="1"/>
  <c r="G458" i="1"/>
  <c r="F458" i="1"/>
  <c r="E458" i="1"/>
  <c r="D458" i="1"/>
  <c r="B458" i="1"/>
  <c r="A458" i="1"/>
  <c r="G457" i="1"/>
  <c r="F457" i="1"/>
  <c r="E457" i="1"/>
  <c r="D457" i="1"/>
  <c r="B457" i="1"/>
  <c r="A457" i="1"/>
  <c r="G456" i="1"/>
  <c r="F456" i="1"/>
  <c r="E456" i="1"/>
  <c r="D456" i="1"/>
  <c r="B456" i="1"/>
  <c r="A456" i="1"/>
  <c r="G455" i="1"/>
  <c r="F455" i="1"/>
  <c r="E455" i="1"/>
  <c r="D455" i="1"/>
  <c r="B455" i="1"/>
  <c r="A455" i="1"/>
  <c r="G454" i="1"/>
  <c r="F454" i="1"/>
  <c r="E454" i="1"/>
  <c r="D454" i="1"/>
  <c r="B454" i="1"/>
  <c r="A454" i="1"/>
  <c r="G453" i="1"/>
  <c r="F453" i="1"/>
  <c r="E453" i="1"/>
  <c r="D453" i="1"/>
  <c r="B453" i="1"/>
  <c r="A453" i="1"/>
  <c r="G452" i="1"/>
  <c r="F452" i="1"/>
  <c r="E452" i="1"/>
  <c r="D452" i="1"/>
  <c r="B452" i="1"/>
  <c r="A452" i="1"/>
  <c r="G451" i="1"/>
  <c r="F451" i="1"/>
  <c r="E451" i="1"/>
  <c r="D451" i="1"/>
  <c r="B451" i="1"/>
  <c r="A451" i="1"/>
  <c r="G450" i="1"/>
  <c r="F450" i="1"/>
  <c r="E450" i="1"/>
  <c r="D450" i="1"/>
  <c r="B450" i="1"/>
  <c r="A450" i="1"/>
  <c r="G449" i="1"/>
  <c r="F449" i="1"/>
  <c r="E449" i="1"/>
  <c r="D449" i="1"/>
  <c r="B449" i="1"/>
  <c r="A449" i="1"/>
  <c r="G448" i="1"/>
  <c r="F448" i="1"/>
  <c r="E448" i="1"/>
  <c r="D448" i="1"/>
  <c r="B448" i="1"/>
  <c r="A448" i="1"/>
  <c r="G447" i="1"/>
  <c r="F447" i="1"/>
  <c r="E447" i="1"/>
  <c r="D447" i="1"/>
  <c r="B447" i="1"/>
  <c r="A447" i="1"/>
  <c r="G446" i="1"/>
  <c r="F446" i="1"/>
  <c r="E446" i="1"/>
  <c r="D446" i="1"/>
  <c r="B446" i="1"/>
  <c r="A446" i="1"/>
  <c r="G445" i="1"/>
  <c r="F445" i="1"/>
  <c r="E445" i="1"/>
  <c r="D445" i="1"/>
  <c r="B445" i="1"/>
  <c r="A445" i="1"/>
  <c r="G444" i="1"/>
  <c r="F444" i="1"/>
  <c r="E444" i="1"/>
  <c r="D444" i="1"/>
  <c r="B444" i="1"/>
  <c r="A444" i="1"/>
  <c r="G443" i="1"/>
  <c r="F443" i="1"/>
  <c r="E443" i="1"/>
  <c r="D443" i="1"/>
  <c r="B443" i="1"/>
  <c r="A443" i="1"/>
  <c r="G442" i="1"/>
  <c r="F442" i="1"/>
  <c r="E442" i="1"/>
  <c r="D442" i="1"/>
  <c r="B442" i="1"/>
  <c r="A442" i="1"/>
  <c r="G441" i="1"/>
  <c r="F441" i="1"/>
  <c r="E441" i="1"/>
  <c r="D441" i="1"/>
  <c r="B441" i="1"/>
  <c r="A441" i="1"/>
  <c r="G440" i="1"/>
  <c r="F440" i="1"/>
  <c r="E440" i="1"/>
  <c r="D440" i="1"/>
  <c r="B440" i="1"/>
  <c r="A440" i="1"/>
  <c r="G439" i="1"/>
  <c r="F439" i="1"/>
  <c r="E439" i="1"/>
  <c r="D439" i="1"/>
  <c r="B439" i="1"/>
  <c r="A439" i="1"/>
  <c r="G438" i="1"/>
  <c r="F438" i="1"/>
  <c r="E438" i="1"/>
  <c r="D438" i="1"/>
  <c r="B438" i="1"/>
  <c r="A438" i="1"/>
  <c r="G437" i="1"/>
  <c r="F437" i="1"/>
  <c r="E437" i="1"/>
  <c r="D437" i="1"/>
  <c r="B437" i="1"/>
  <c r="A437" i="1"/>
  <c r="G436" i="1"/>
  <c r="F436" i="1"/>
  <c r="E436" i="1"/>
  <c r="D436" i="1"/>
  <c r="B436" i="1"/>
  <c r="A436" i="1"/>
  <c r="G435" i="1"/>
  <c r="F435" i="1"/>
  <c r="E435" i="1"/>
  <c r="D435" i="1"/>
  <c r="B435" i="1"/>
  <c r="A435" i="1"/>
  <c r="G434" i="1"/>
  <c r="F434" i="1"/>
  <c r="E434" i="1"/>
  <c r="D434" i="1"/>
  <c r="B434" i="1"/>
  <c r="A434" i="1"/>
  <c r="G433" i="1"/>
  <c r="F433" i="1"/>
  <c r="E433" i="1"/>
  <c r="D433" i="1"/>
  <c r="B433" i="1"/>
  <c r="A433" i="1"/>
  <c r="G432" i="1"/>
  <c r="F432" i="1"/>
  <c r="E432" i="1"/>
  <c r="D432" i="1"/>
  <c r="B432" i="1"/>
  <c r="A432" i="1"/>
  <c r="G431" i="1"/>
  <c r="F431" i="1"/>
  <c r="E431" i="1"/>
  <c r="D431" i="1"/>
  <c r="B431" i="1"/>
  <c r="A431" i="1"/>
  <c r="G430" i="1"/>
  <c r="F430" i="1"/>
  <c r="E430" i="1"/>
  <c r="D430" i="1"/>
  <c r="B430" i="1"/>
  <c r="A430" i="1"/>
  <c r="G429" i="1"/>
  <c r="F429" i="1"/>
  <c r="E429" i="1"/>
  <c r="D429" i="1"/>
  <c r="B429" i="1"/>
  <c r="A429" i="1"/>
  <c r="G428" i="1"/>
  <c r="F428" i="1"/>
  <c r="E428" i="1"/>
  <c r="D428" i="1"/>
  <c r="B428" i="1"/>
  <c r="A428" i="1"/>
  <c r="G427" i="1"/>
  <c r="F427" i="1"/>
  <c r="E427" i="1"/>
  <c r="D427" i="1"/>
  <c r="B427" i="1"/>
  <c r="A427" i="1"/>
  <c r="G426" i="1"/>
  <c r="F426" i="1"/>
  <c r="E426" i="1"/>
  <c r="D426" i="1"/>
  <c r="B426" i="1"/>
  <c r="A426" i="1"/>
  <c r="G425" i="1"/>
  <c r="F425" i="1"/>
  <c r="E425" i="1"/>
  <c r="D425" i="1"/>
  <c r="B425" i="1"/>
  <c r="A425" i="1"/>
  <c r="G424" i="1"/>
  <c r="F424" i="1"/>
  <c r="E424" i="1"/>
  <c r="D424" i="1"/>
  <c r="B424" i="1"/>
  <c r="A424" i="1"/>
  <c r="G423" i="1"/>
  <c r="F423" i="1"/>
  <c r="E423" i="1"/>
  <c r="D423" i="1"/>
  <c r="B423" i="1"/>
  <c r="A423" i="1"/>
  <c r="G422" i="1"/>
  <c r="F422" i="1"/>
  <c r="E422" i="1"/>
  <c r="D422" i="1"/>
  <c r="B422" i="1"/>
  <c r="A422" i="1"/>
  <c r="G421" i="1"/>
  <c r="F421" i="1"/>
  <c r="E421" i="1"/>
  <c r="D421" i="1"/>
  <c r="B421" i="1"/>
  <c r="A421" i="1"/>
  <c r="G420" i="1"/>
  <c r="F420" i="1"/>
  <c r="E420" i="1"/>
  <c r="D420" i="1"/>
  <c r="B420" i="1"/>
  <c r="A420" i="1"/>
  <c r="G419" i="1"/>
  <c r="F419" i="1"/>
  <c r="E419" i="1"/>
  <c r="D419" i="1"/>
  <c r="B419" i="1"/>
  <c r="A419" i="1"/>
  <c r="G418" i="1"/>
  <c r="F418" i="1"/>
  <c r="E418" i="1"/>
  <c r="D418" i="1"/>
  <c r="B418" i="1"/>
  <c r="A418" i="1"/>
  <c r="G417" i="1"/>
  <c r="F417" i="1"/>
  <c r="E417" i="1"/>
  <c r="D417" i="1"/>
  <c r="B417" i="1"/>
  <c r="A417" i="1"/>
  <c r="G416" i="1"/>
  <c r="F416" i="1"/>
  <c r="E416" i="1"/>
  <c r="D416" i="1"/>
  <c r="B416" i="1"/>
  <c r="A416" i="1"/>
  <c r="G415" i="1"/>
  <c r="F415" i="1"/>
  <c r="E415" i="1"/>
  <c r="D415" i="1"/>
  <c r="B415" i="1"/>
  <c r="A415" i="1"/>
  <c r="G414" i="1"/>
  <c r="F414" i="1"/>
  <c r="E414" i="1"/>
  <c r="D414" i="1"/>
  <c r="B414" i="1"/>
  <c r="A414" i="1"/>
  <c r="G413" i="1"/>
  <c r="F413" i="1"/>
  <c r="E413" i="1"/>
  <c r="D413" i="1"/>
  <c r="B413" i="1"/>
  <c r="A413" i="1"/>
  <c r="G412" i="1"/>
  <c r="F412" i="1"/>
  <c r="E412" i="1"/>
  <c r="D412" i="1"/>
  <c r="B412" i="1"/>
  <c r="A412" i="1"/>
  <c r="G411" i="1"/>
  <c r="F411" i="1"/>
  <c r="E411" i="1"/>
  <c r="D411" i="1"/>
  <c r="B411" i="1"/>
  <c r="A411" i="1"/>
  <c r="G410" i="1"/>
  <c r="F410" i="1"/>
  <c r="E410" i="1"/>
  <c r="D410" i="1"/>
  <c r="B410" i="1"/>
  <c r="A410" i="1"/>
  <c r="G409" i="1"/>
  <c r="F409" i="1"/>
  <c r="E409" i="1"/>
  <c r="D409" i="1"/>
  <c r="B409" i="1"/>
  <c r="A409" i="1"/>
  <c r="G408" i="1"/>
  <c r="F408" i="1"/>
  <c r="E408" i="1"/>
  <c r="D408" i="1"/>
  <c r="B408" i="1"/>
  <c r="A408" i="1"/>
  <c r="G407" i="1"/>
  <c r="F407" i="1"/>
  <c r="E407" i="1"/>
  <c r="D407" i="1"/>
  <c r="B407" i="1"/>
  <c r="A407" i="1"/>
  <c r="G406" i="1"/>
  <c r="F406" i="1"/>
  <c r="E406" i="1"/>
  <c r="D406" i="1"/>
  <c r="B406" i="1"/>
  <c r="A406" i="1"/>
  <c r="G405" i="1"/>
  <c r="F405" i="1"/>
  <c r="E405" i="1"/>
  <c r="D405" i="1"/>
  <c r="B405" i="1"/>
  <c r="A405" i="1"/>
  <c r="G404" i="1"/>
  <c r="F404" i="1"/>
  <c r="E404" i="1"/>
  <c r="D404" i="1"/>
  <c r="B404" i="1"/>
  <c r="A404" i="1"/>
  <c r="G403" i="1"/>
  <c r="F403" i="1"/>
  <c r="E403" i="1"/>
  <c r="D403" i="1"/>
  <c r="B403" i="1"/>
  <c r="A403" i="1"/>
  <c r="G402" i="1"/>
  <c r="F402" i="1"/>
  <c r="E402" i="1"/>
  <c r="D402" i="1"/>
  <c r="B402" i="1"/>
  <c r="A402" i="1"/>
  <c r="G401" i="1"/>
  <c r="F401" i="1"/>
  <c r="E401" i="1"/>
  <c r="D401" i="1"/>
  <c r="B401" i="1"/>
  <c r="A401" i="1"/>
  <c r="G400" i="1"/>
  <c r="F400" i="1"/>
  <c r="E400" i="1"/>
  <c r="D400" i="1"/>
  <c r="B400" i="1"/>
  <c r="A400" i="1"/>
  <c r="G399" i="1"/>
  <c r="F399" i="1"/>
  <c r="E399" i="1"/>
  <c r="D399" i="1"/>
  <c r="B399" i="1"/>
  <c r="A399" i="1"/>
  <c r="G398" i="1"/>
  <c r="F398" i="1"/>
  <c r="E398" i="1"/>
  <c r="D398" i="1"/>
  <c r="B398" i="1"/>
  <c r="A398" i="1"/>
  <c r="G397" i="1"/>
  <c r="F397" i="1"/>
  <c r="E397" i="1"/>
  <c r="D397" i="1"/>
  <c r="B397" i="1"/>
  <c r="A397" i="1"/>
  <c r="G396" i="1"/>
  <c r="F396" i="1"/>
  <c r="E396" i="1"/>
  <c r="D396" i="1"/>
  <c r="B396" i="1"/>
  <c r="A396" i="1"/>
  <c r="G395" i="1"/>
  <c r="F395" i="1"/>
  <c r="E395" i="1"/>
  <c r="D395" i="1"/>
  <c r="B395" i="1"/>
  <c r="A395" i="1"/>
  <c r="G394" i="1"/>
  <c r="F394" i="1"/>
  <c r="E394" i="1"/>
  <c r="D394" i="1"/>
  <c r="B394" i="1"/>
  <c r="A394" i="1"/>
  <c r="G393" i="1"/>
  <c r="F393" i="1"/>
  <c r="E393" i="1"/>
  <c r="D393" i="1"/>
  <c r="B393" i="1"/>
  <c r="A393" i="1"/>
  <c r="G392" i="1"/>
  <c r="F392" i="1"/>
  <c r="E392" i="1"/>
  <c r="D392" i="1"/>
  <c r="B392" i="1"/>
  <c r="A392" i="1"/>
  <c r="G391" i="1"/>
  <c r="F391" i="1"/>
  <c r="E391" i="1"/>
  <c r="D391" i="1"/>
  <c r="B391" i="1"/>
  <c r="A391" i="1"/>
  <c r="G390" i="1"/>
  <c r="F390" i="1"/>
  <c r="E390" i="1"/>
  <c r="D390" i="1"/>
  <c r="B390" i="1"/>
  <c r="A390" i="1"/>
  <c r="G389" i="1"/>
  <c r="F389" i="1"/>
  <c r="E389" i="1"/>
  <c r="D389" i="1"/>
  <c r="B389" i="1"/>
  <c r="A389" i="1"/>
  <c r="G388" i="1"/>
  <c r="F388" i="1"/>
  <c r="E388" i="1"/>
  <c r="D388" i="1"/>
  <c r="B388" i="1"/>
  <c r="A388" i="1"/>
  <c r="G387" i="1"/>
  <c r="F387" i="1"/>
  <c r="E387" i="1"/>
  <c r="D387" i="1"/>
  <c r="B387" i="1"/>
  <c r="A387" i="1"/>
  <c r="G386" i="1"/>
  <c r="F386" i="1"/>
  <c r="E386" i="1"/>
  <c r="D386" i="1"/>
  <c r="B386" i="1"/>
  <c r="A386" i="1"/>
  <c r="G385" i="1"/>
  <c r="F385" i="1"/>
  <c r="E385" i="1"/>
  <c r="D385" i="1"/>
  <c r="B385" i="1"/>
  <c r="A385" i="1"/>
  <c r="G384" i="1"/>
  <c r="F384" i="1"/>
  <c r="E384" i="1"/>
  <c r="D384" i="1"/>
  <c r="B384" i="1"/>
  <c r="A384" i="1"/>
  <c r="G383" i="1"/>
  <c r="F383" i="1"/>
  <c r="E383" i="1"/>
  <c r="D383" i="1"/>
  <c r="B383" i="1"/>
  <c r="A383" i="1"/>
  <c r="G382" i="1"/>
  <c r="F382" i="1"/>
  <c r="E382" i="1"/>
  <c r="D382" i="1"/>
  <c r="B382" i="1"/>
  <c r="A382" i="1"/>
  <c r="G381" i="1"/>
  <c r="F381" i="1"/>
  <c r="E381" i="1"/>
  <c r="D381" i="1"/>
  <c r="B381" i="1"/>
  <c r="A381" i="1"/>
  <c r="G380" i="1"/>
  <c r="F380" i="1"/>
  <c r="E380" i="1"/>
  <c r="D380" i="1"/>
  <c r="B380" i="1"/>
  <c r="A380" i="1"/>
  <c r="G379" i="1"/>
  <c r="F379" i="1"/>
  <c r="E379" i="1"/>
  <c r="D379" i="1"/>
  <c r="B379" i="1"/>
  <c r="A379" i="1"/>
  <c r="G378" i="1"/>
  <c r="F378" i="1"/>
  <c r="E378" i="1"/>
  <c r="D378" i="1"/>
  <c r="B378" i="1"/>
  <c r="A378" i="1"/>
  <c r="G377" i="1"/>
  <c r="F377" i="1"/>
  <c r="E377" i="1"/>
  <c r="D377" i="1"/>
  <c r="B377" i="1"/>
  <c r="A377" i="1"/>
  <c r="G376" i="1"/>
  <c r="F376" i="1"/>
  <c r="E376" i="1"/>
  <c r="D376" i="1"/>
  <c r="B376" i="1"/>
  <c r="A376" i="1"/>
  <c r="G375" i="1"/>
  <c r="F375" i="1"/>
  <c r="E375" i="1"/>
  <c r="D375" i="1"/>
  <c r="B375" i="1"/>
  <c r="A375" i="1"/>
  <c r="G374" i="1"/>
  <c r="F374" i="1"/>
  <c r="E374" i="1"/>
  <c r="D374" i="1"/>
  <c r="B374" i="1"/>
  <c r="A374" i="1"/>
  <c r="G373" i="1"/>
  <c r="F373" i="1"/>
  <c r="E373" i="1"/>
  <c r="D373" i="1"/>
  <c r="B373" i="1"/>
  <c r="A373" i="1"/>
  <c r="G372" i="1"/>
  <c r="F372" i="1"/>
  <c r="E372" i="1"/>
  <c r="D372" i="1"/>
  <c r="B372" i="1"/>
  <c r="A372" i="1"/>
  <c r="G371" i="1"/>
  <c r="F371" i="1"/>
  <c r="E371" i="1"/>
  <c r="D371" i="1"/>
  <c r="B371" i="1"/>
  <c r="A371" i="1"/>
  <c r="G370" i="1"/>
  <c r="F370" i="1"/>
  <c r="E370" i="1"/>
  <c r="D370" i="1"/>
  <c r="B370" i="1"/>
  <c r="A370" i="1"/>
  <c r="G369" i="1"/>
  <c r="F369" i="1"/>
  <c r="E369" i="1"/>
  <c r="D369" i="1"/>
  <c r="B369" i="1"/>
  <c r="A369" i="1"/>
  <c r="G368" i="1"/>
  <c r="F368" i="1"/>
  <c r="E368" i="1"/>
  <c r="D368" i="1"/>
  <c r="B368" i="1"/>
  <c r="A368" i="1"/>
  <c r="G367" i="1"/>
  <c r="F367" i="1"/>
  <c r="E367" i="1"/>
  <c r="D367" i="1"/>
  <c r="B367" i="1"/>
  <c r="A367" i="1"/>
  <c r="G366" i="1"/>
  <c r="F366" i="1"/>
  <c r="E366" i="1"/>
  <c r="D366" i="1"/>
  <c r="B366" i="1"/>
  <c r="A366" i="1"/>
  <c r="G365" i="1"/>
  <c r="F365" i="1"/>
  <c r="E365" i="1"/>
  <c r="D365" i="1"/>
  <c r="B365" i="1"/>
  <c r="A365" i="1"/>
  <c r="G364" i="1"/>
  <c r="F364" i="1"/>
  <c r="E364" i="1"/>
  <c r="D364" i="1"/>
  <c r="B364" i="1"/>
  <c r="A364" i="1"/>
  <c r="G363" i="1"/>
  <c r="F363" i="1"/>
  <c r="E363" i="1"/>
  <c r="D363" i="1"/>
  <c r="B363" i="1"/>
  <c r="A363" i="1"/>
  <c r="G362" i="1"/>
  <c r="F362" i="1"/>
  <c r="E362" i="1"/>
  <c r="D362" i="1"/>
  <c r="B362" i="1"/>
  <c r="A362" i="1"/>
  <c r="G361" i="1"/>
  <c r="F361" i="1"/>
  <c r="E361" i="1"/>
  <c r="D361" i="1"/>
  <c r="B361" i="1"/>
  <c r="A361" i="1"/>
  <c r="G360" i="1"/>
  <c r="F360" i="1"/>
  <c r="E360" i="1"/>
  <c r="D360" i="1"/>
  <c r="B360" i="1"/>
  <c r="A360" i="1"/>
  <c r="G359" i="1"/>
  <c r="F359" i="1"/>
  <c r="E359" i="1"/>
  <c r="D359" i="1"/>
  <c r="B359" i="1"/>
  <c r="A359" i="1"/>
  <c r="G358" i="1"/>
  <c r="F358" i="1"/>
  <c r="E358" i="1"/>
  <c r="D358" i="1"/>
  <c r="B358" i="1"/>
  <c r="A358" i="1"/>
  <c r="G357" i="1"/>
  <c r="F357" i="1"/>
  <c r="E357" i="1"/>
  <c r="D357" i="1"/>
  <c r="B357" i="1"/>
  <c r="A357" i="1"/>
  <c r="G356" i="1"/>
  <c r="F356" i="1"/>
  <c r="E356" i="1"/>
  <c r="D356" i="1"/>
  <c r="B356" i="1"/>
  <c r="A356" i="1"/>
  <c r="G355" i="1"/>
  <c r="F355" i="1"/>
  <c r="E355" i="1"/>
  <c r="D355" i="1"/>
  <c r="B355" i="1"/>
  <c r="A355" i="1"/>
  <c r="G354" i="1"/>
  <c r="F354" i="1"/>
  <c r="E354" i="1"/>
  <c r="D354" i="1"/>
  <c r="B354" i="1"/>
  <c r="A354" i="1"/>
  <c r="G353" i="1"/>
  <c r="F353" i="1"/>
  <c r="E353" i="1"/>
  <c r="D353" i="1"/>
  <c r="B353" i="1"/>
  <c r="A353" i="1"/>
  <c r="G352" i="1"/>
  <c r="F352" i="1"/>
  <c r="E352" i="1"/>
  <c r="D352" i="1"/>
  <c r="B352" i="1"/>
  <c r="A352" i="1"/>
  <c r="G351" i="1"/>
  <c r="F351" i="1"/>
  <c r="E351" i="1"/>
  <c r="D351" i="1"/>
  <c r="B351" i="1"/>
  <c r="A351" i="1"/>
  <c r="G350" i="1"/>
  <c r="F350" i="1"/>
  <c r="E350" i="1"/>
  <c r="D350" i="1"/>
  <c r="B350" i="1"/>
  <c r="A350" i="1"/>
  <c r="G349" i="1"/>
  <c r="F349" i="1"/>
  <c r="E349" i="1"/>
  <c r="D349" i="1"/>
  <c r="B349" i="1"/>
  <c r="A349" i="1"/>
  <c r="G348" i="1"/>
  <c r="F348" i="1"/>
  <c r="E348" i="1"/>
  <c r="D348" i="1"/>
  <c r="B348" i="1"/>
  <c r="A348" i="1"/>
  <c r="G347" i="1"/>
  <c r="F347" i="1"/>
  <c r="E347" i="1"/>
  <c r="D347" i="1"/>
  <c r="B347" i="1"/>
  <c r="A347" i="1"/>
  <c r="G346" i="1"/>
  <c r="F346" i="1"/>
  <c r="E346" i="1"/>
  <c r="D346" i="1"/>
  <c r="B346" i="1"/>
  <c r="A346" i="1"/>
  <c r="G345" i="1"/>
  <c r="F345" i="1"/>
  <c r="E345" i="1"/>
  <c r="D345" i="1"/>
  <c r="B345" i="1"/>
  <c r="A345" i="1"/>
  <c r="G344" i="1"/>
  <c r="F344" i="1"/>
  <c r="E344" i="1"/>
  <c r="D344" i="1"/>
  <c r="B344" i="1"/>
  <c r="A344" i="1"/>
  <c r="G343" i="1"/>
  <c r="F343" i="1"/>
  <c r="E343" i="1"/>
  <c r="D343" i="1"/>
  <c r="B343" i="1"/>
  <c r="A343" i="1"/>
  <c r="G342" i="1"/>
  <c r="F342" i="1"/>
  <c r="E342" i="1"/>
  <c r="D342" i="1"/>
  <c r="B342" i="1"/>
  <c r="A342" i="1"/>
  <c r="G341" i="1"/>
  <c r="F341" i="1"/>
  <c r="E341" i="1"/>
  <c r="D341" i="1"/>
  <c r="B341" i="1"/>
  <c r="A341" i="1"/>
  <c r="G340" i="1"/>
  <c r="F340" i="1"/>
  <c r="E340" i="1"/>
  <c r="D340" i="1"/>
  <c r="B340" i="1"/>
  <c r="A340" i="1"/>
  <c r="G339" i="1"/>
  <c r="F339" i="1"/>
  <c r="E339" i="1"/>
  <c r="D339" i="1"/>
  <c r="B339" i="1"/>
  <c r="A339" i="1"/>
  <c r="G338" i="1"/>
  <c r="F338" i="1"/>
  <c r="E338" i="1"/>
  <c r="D338" i="1"/>
  <c r="B338" i="1"/>
  <c r="A338" i="1"/>
  <c r="G337" i="1"/>
  <c r="F337" i="1"/>
  <c r="E337" i="1"/>
  <c r="D337" i="1"/>
  <c r="B337" i="1"/>
  <c r="A337" i="1"/>
  <c r="G336" i="1"/>
  <c r="F336" i="1"/>
  <c r="E336" i="1"/>
  <c r="D336" i="1"/>
  <c r="B336" i="1"/>
  <c r="A336" i="1"/>
  <c r="G335" i="1"/>
  <c r="F335" i="1"/>
  <c r="E335" i="1"/>
  <c r="D335" i="1"/>
  <c r="B335" i="1"/>
  <c r="A335" i="1"/>
  <c r="G334" i="1"/>
  <c r="F334" i="1"/>
  <c r="E334" i="1"/>
  <c r="D334" i="1"/>
  <c r="B334" i="1"/>
  <c r="A334" i="1"/>
  <c r="G333" i="1"/>
  <c r="F333" i="1"/>
  <c r="E333" i="1"/>
  <c r="D333" i="1"/>
  <c r="B333" i="1"/>
  <c r="A333" i="1"/>
  <c r="G332" i="1"/>
  <c r="F332" i="1"/>
  <c r="E332" i="1"/>
  <c r="D332" i="1"/>
  <c r="B332" i="1"/>
  <c r="A332" i="1"/>
  <c r="G331" i="1"/>
  <c r="F331" i="1"/>
  <c r="E331" i="1"/>
  <c r="D331" i="1"/>
  <c r="B331" i="1"/>
  <c r="A331" i="1"/>
  <c r="G330" i="1"/>
  <c r="F330" i="1"/>
  <c r="E330" i="1"/>
  <c r="D330" i="1"/>
  <c r="B330" i="1"/>
  <c r="A330" i="1"/>
  <c r="G329" i="1"/>
  <c r="F329" i="1"/>
  <c r="E329" i="1"/>
  <c r="D329" i="1"/>
  <c r="B329" i="1"/>
  <c r="A329" i="1"/>
  <c r="G328" i="1"/>
  <c r="F328" i="1"/>
  <c r="E328" i="1"/>
  <c r="D328" i="1"/>
  <c r="B328" i="1"/>
  <c r="A328" i="1"/>
  <c r="G327" i="1"/>
  <c r="F327" i="1"/>
  <c r="E327" i="1"/>
  <c r="D327" i="1"/>
  <c r="B327" i="1"/>
  <c r="A327" i="1"/>
  <c r="G326" i="1"/>
  <c r="F326" i="1"/>
  <c r="E326" i="1"/>
  <c r="D326" i="1"/>
  <c r="B326" i="1"/>
  <c r="A326" i="1"/>
  <c r="G325" i="1"/>
  <c r="F325" i="1"/>
  <c r="E325" i="1"/>
  <c r="D325" i="1"/>
  <c r="B325" i="1"/>
  <c r="A325" i="1"/>
  <c r="G324" i="1"/>
  <c r="F324" i="1"/>
  <c r="E324" i="1"/>
  <c r="D324" i="1"/>
  <c r="B324" i="1"/>
  <c r="A324" i="1"/>
  <c r="G323" i="1"/>
  <c r="F323" i="1"/>
  <c r="E323" i="1"/>
  <c r="D323" i="1"/>
  <c r="B323" i="1"/>
  <c r="A323" i="1"/>
  <c r="G322" i="1"/>
  <c r="F322" i="1"/>
  <c r="E322" i="1"/>
  <c r="D322" i="1"/>
  <c r="B322" i="1"/>
  <c r="A322" i="1"/>
  <c r="G321" i="1"/>
  <c r="F321" i="1"/>
  <c r="E321" i="1"/>
  <c r="D321" i="1"/>
  <c r="B321" i="1"/>
  <c r="A321" i="1"/>
  <c r="G320" i="1"/>
  <c r="F320" i="1"/>
  <c r="E320" i="1"/>
  <c r="D320" i="1"/>
  <c r="B320" i="1"/>
  <c r="A320" i="1"/>
  <c r="G319" i="1"/>
  <c r="F319" i="1"/>
  <c r="E319" i="1"/>
  <c r="D319" i="1"/>
  <c r="B319" i="1"/>
  <c r="A319" i="1"/>
  <c r="G318" i="1"/>
  <c r="F318" i="1"/>
  <c r="E318" i="1"/>
  <c r="D318" i="1"/>
  <c r="B318" i="1"/>
  <c r="A318" i="1"/>
  <c r="G317" i="1"/>
  <c r="F317" i="1"/>
  <c r="E317" i="1"/>
  <c r="D317" i="1"/>
  <c r="B317" i="1"/>
  <c r="A317" i="1"/>
  <c r="G316" i="1"/>
  <c r="F316" i="1"/>
  <c r="E316" i="1"/>
  <c r="D316" i="1"/>
  <c r="B316" i="1"/>
  <c r="A316" i="1"/>
  <c r="G315" i="1"/>
  <c r="F315" i="1"/>
  <c r="E315" i="1"/>
  <c r="D315" i="1"/>
  <c r="B315" i="1"/>
  <c r="A315" i="1"/>
  <c r="G314" i="1"/>
  <c r="F314" i="1"/>
  <c r="E314" i="1"/>
  <c r="D314" i="1"/>
  <c r="B314" i="1"/>
  <c r="A314" i="1"/>
  <c r="G313" i="1"/>
  <c r="F313" i="1"/>
  <c r="E313" i="1"/>
  <c r="D313" i="1"/>
  <c r="B313" i="1"/>
  <c r="A313" i="1"/>
  <c r="G312" i="1"/>
  <c r="F312" i="1"/>
  <c r="E312" i="1"/>
  <c r="D312" i="1"/>
  <c r="B312" i="1"/>
  <c r="A312" i="1"/>
  <c r="G311" i="1"/>
  <c r="F311" i="1"/>
  <c r="E311" i="1"/>
  <c r="D311" i="1"/>
  <c r="B311" i="1"/>
  <c r="A311" i="1"/>
  <c r="G310" i="1"/>
  <c r="F310" i="1"/>
  <c r="E310" i="1"/>
  <c r="D310" i="1"/>
  <c r="B310" i="1"/>
  <c r="A310" i="1"/>
  <c r="G309" i="1"/>
  <c r="F309" i="1"/>
  <c r="E309" i="1"/>
  <c r="D309" i="1"/>
  <c r="B309" i="1"/>
  <c r="A309" i="1"/>
  <c r="G308" i="1"/>
  <c r="F308" i="1"/>
  <c r="E308" i="1"/>
  <c r="D308" i="1"/>
  <c r="B308" i="1"/>
  <c r="A308" i="1"/>
  <c r="G307" i="1"/>
  <c r="F307" i="1"/>
  <c r="E307" i="1"/>
  <c r="D307" i="1"/>
  <c r="B307" i="1"/>
  <c r="A307" i="1"/>
  <c r="G306" i="1"/>
  <c r="F306" i="1"/>
  <c r="E306" i="1"/>
  <c r="D306" i="1"/>
  <c r="B306" i="1"/>
  <c r="A306" i="1"/>
  <c r="G305" i="1"/>
  <c r="F305" i="1"/>
  <c r="E305" i="1"/>
  <c r="D305" i="1"/>
  <c r="B305" i="1"/>
  <c r="A305" i="1"/>
  <c r="G304" i="1"/>
  <c r="F304" i="1"/>
  <c r="E304" i="1"/>
  <c r="D304" i="1"/>
  <c r="B304" i="1"/>
  <c r="A304" i="1"/>
  <c r="G303" i="1"/>
  <c r="F303" i="1"/>
  <c r="E303" i="1"/>
  <c r="D303" i="1"/>
  <c r="B303" i="1"/>
  <c r="A303" i="1"/>
  <c r="G302" i="1"/>
  <c r="F302" i="1"/>
  <c r="E302" i="1"/>
  <c r="D302" i="1"/>
  <c r="B302" i="1"/>
  <c r="A302" i="1"/>
  <c r="G301" i="1"/>
  <c r="F301" i="1"/>
  <c r="E301" i="1"/>
  <c r="D301" i="1"/>
  <c r="B301" i="1"/>
  <c r="A301" i="1"/>
  <c r="G300" i="1"/>
  <c r="F300" i="1"/>
  <c r="E300" i="1"/>
  <c r="D300" i="1"/>
  <c r="B300" i="1"/>
  <c r="A300" i="1"/>
  <c r="G299" i="1"/>
  <c r="F299" i="1"/>
  <c r="E299" i="1"/>
  <c r="D299" i="1"/>
  <c r="B299" i="1"/>
  <c r="A299" i="1"/>
  <c r="G298" i="1"/>
  <c r="F298" i="1"/>
  <c r="E298" i="1"/>
  <c r="D298" i="1"/>
  <c r="B298" i="1"/>
  <c r="A298" i="1"/>
  <c r="G297" i="1"/>
  <c r="F297" i="1"/>
  <c r="E297" i="1"/>
  <c r="D297" i="1"/>
  <c r="B297" i="1"/>
  <c r="A297" i="1"/>
  <c r="G296" i="1"/>
  <c r="F296" i="1"/>
  <c r="E296" i="1"/>
  <c r="D296" i="1"/>
  <c r="B296" i="1"/>
  <c r="A296" i="1"/>
  <c r="G295" i="1"/>
  <c r="F295" i="1"/>
  <c r="E295" i="1"/>
  <c r="D295" i="1"/>
  <c r="B295" i="1"/>
  <c r="A295" i="1"/>
  <c r="G294" i="1"/>
  <c r="F294" i="1"/>
  <c r="E294" i="1"/>
  <c r="D294" i="1"/>
  <c r="B294" i="1"/>
  <c r="A294" i="1"/>
  <c r="G293" i="1"/>
  <c r="F293" i="1"/>
  <c r="E293" i="1"/>
  <c r="D293" i="1"/>
  <c r="B293" i="1"/>
  <c r="A293" i="1"/>
  <c r="G292" i="1"/>
  <c r="F292" i="1"/>
  <c r="E292" i="1"/>
  <c r="D292" i="1"/>
  <c r="B292" i="1"/>
  <c r="A292" i="1"/>
  <c r="G291" i="1"/>
  <c r="F291" i="1"/>
  <c r="E291" i="1"/>
  <c r="D291" i="1"/>
  <c r="B291" i="1"/>
  <c r="A291" i="1"/>
  <c r="G290" i="1"/>
  <c r="F290" i="1"/>
  <c r="E290" i="1"/>
  <c r="D290" i="1"/>
  <c r="B290" i="1"/>
  <c r="A290" i="1"/>
  <c r="G289" i="1"/>
  <c r="F289" i="1"/>
  <c r="E289" i="1"/>
  <c r="D289" i="1"/>
  <c r="B289" i="1"/>
  <c r="A289" i="1"/>
  <c r="G288" i="1"/>
  <c r="F288" i="1"/>
  <c r="E288" i="1"/>
  <c r="D288" i="1"/>
  <c r="B288" i="1"/>
  <c r="A288" i="1"/>
  <c r="G287" i="1"/>
  <c r="F287" i="1"/>
  <c r="E287" i="1"/>
  <c r="D287" i="1"/>
  <c r="B287" i="1"/>
  <c r="A287" i="1"/>
  <c r="G286" i="1"/>
  <c r="F286" i="1"/>
  <c r="E286" i="1"/>
  <c r="D286" i="1"/>
  <c r="B286" i="1"/>
  <c r="A286" i="1"/>
  <c r="G285" i="1"/>
  <c r="F285" i="1"/>
  <c r="E285" i="1"/>
  <c r="D285" i="1"/>
  <c r="B285" i="1"/>
  <c r="A285" i="1"/>
  <c r="G284" i="1"/>
  <c r="F284" i="1"/>
  <c r="E284" i="1"/>
  <c r="D284" i="1"/>
  <c r="B284" i="1"/>
  <c r="A284" i="1"/>
  <c r="G283" i="1"/>
  <c r="F283" i="1"/>
  <c r="E283" i="1"/>
  <c r="D283" i="1"/>
  <c r="B283" i="1"/>
  <c r="A283" i="1"/>
  <c r="G282" i="1"/>
  <c r="F282" i="1"/>
  <c r="E282" i="1"/>
  <c r="D282" i="1"/>
  <c r="B282" i="1"/>
  <c r="A282" i="1"/>
  <c r="G281" i="1"/>
  <c r="F281" i="1"/>
  <c r="E281" i="1"/>
  <c r="D281" i="1"/>
  <c r="B281" i="1"/>
  <c r="A281" i="1"/>
  <c r="G280" i="1"/>
  <c r="F280" i="1"/>
  <c r="E280" i="1"/>
  <c r="D280" i="1"/>
  <c r="B280" i="1"/>
  <c r="A280" i="1"/>
  <c r="G279" i="1"/>
  <c r="F279" i="1"/>
  <c r="E279" i="1"/>
  <c r="D279" i="1"/>
  <c r="B279" i="1"/>
  <c r="A279" i="1"/>
  <c r="G278" i="1"/>
  <c r="F278" i="1"/>
  <c r="E278" i="1"/>
  <c r="D278" i="1"/>
  <c r="B278" i="1"/>
  <c r="A278" i="1"/>
  <c r="G277" i="1"/>
  <c r="F277" i="1"/>
  <c r="E277" i="1"/>
  <c r="D277" i="1"/>
  <c r="B277" i="1"/>
  <c r="A277" i="1"/>
  <c r="G276" i="1"/>
  <c r="F276" i="1"/>
  <c r="E276" i="1"/>
  <c r="D276" i="1"/>
  <c r="B276" i="1"/>
  <c r="A276" i="1"/>
  <c r="G275" i="1"/>
  <c r="F275" i="1"/>
  <c r="E275" i="1"/>
  <c r="D275" i="1"/>
  <c r="B275" i="1"/>
  <c r="A275" i="1"/>
  <c r="G274" i="1"/>
  <c r="F274" i="1"/>
  <c r="E274" i="1"/>
  <c r="D274" i="1"/>
  <c r="B274" i="1"/>
  <c r="A274" i="1"/>
  <c r="G273" i="1"/>
  <c r="F273" i="1"/>
  <c r="E273" i="1"/>
  <c r="D273" i="1"/>
  <c r="B273" i="1"/>
  <c r="A273" i="1"/>
  <c r="G272" i="1"/>
  <c r="F272" i="1"/>
  <c r="E272" i="1"/>
  <c r="D272" i="1"/>
  <c r="B272" i="1"/>
  <c r="A272" i="1"/>
  <c r="G271" i="1"/>
  <c r="F271" i="1"/>
  <c r="E271" i="1"/>
  <c r="D271" i="1"/>
  <c r="B271" i="1"/>
  <c r="A271" i="1"/>
  <c r="G270" i="1"/>
  <c r="F270" i="1"/>
  <c r="E270" i="1"/>
  <c r="D270" i="1"/>
  <c r="B270" i="1"/>
  <c r="A270" i="1"/>
  <c r="G269" i="1"/>
  <c r="F269" i="1"/>
  <c r="E269" i="1"/>
  <c r="D269" i="1"/>
  <c r="B269" i="1"/>
  <c r="A269" i="1"/>
  <c r="G268" i="1"/>
  <c r="F268" i="1"/>
  <c r="E268" i="1"/>
  <c r="D268" i="1"/>
  <c r="B268" i="1"/>
  <c r="A268" i="1"/>
  <c r="G267" i="1"/>
  <c r="F267" i="1"/>
  <c r="E267" i="1"/>
  <c r="D267" i="1"/>
  <c r="B267" i="1"/>
  <c r="A267" i="1"/>
  <c r="G266" i="1"/>
  <c r="F266" i="1"/>
  <c r="E266" i="1"/>
  <c r="D266" i="1"/>
  <c r="B266" i="1"/>
  <c r="A266" i="1"/>
  <c r="G265" i="1"/>
  <c r="F265" i="1"/>
  <c r="E265" i="1"/>
  <c r="D265" i="1"/>
  <c r="B265" i="1"/>
  <c r="A265" i="1"/>
  <c r="G264" i="1"/>
  <c r="F264" i="1"/>
  <c r="E264" i="1"/>
  <c r="D264" i="1"/>
  <c r="B264" i="1"/>
  <c r="A264" i="1"/>
  <c r="G263" i="1"/>
  <c r="F263" i="1"/>
  <c r="E263" i="1"/>
  <c r="D263" i="1"/>
  <c r="B263" i="1"/>
  <c r="A263" i="1"/>
  <c r="G262" i="1"/>
  <c r="F262" i="1"/>
  <c r="E262" i="1"/>
  <c r="D262" i="1"/>
  <c r="B262" i="1"/>
  <c r="A262" i="1"/>
  <c r="G261" i="1"/>
  <c r="F261" i="1"/>
  <c r="E261" i="1"/>
  <c r="D261" i="1"/>
  <c r="B261" i="1"/>
  <c r="A261" i="1"/>
  <c r="G260" i="1"/>
  <c r="F260" i="1"/>
  <c r="E260" i="1"/>
  <c r="D260" i="1"/>
  <c r="B260" i="1"/>
  <c r="A260" i="1"/>
  <c r="G259" i="1"/>
  <c r="F259" i="1"/>
  <c r="E259" i="1"/>
  <c r="D259" i="1"/>
  <c r="B259" i="1"/>
  <c r="A259" i="1"/>
  <c r="G258" i="1"/>
  <c r="F258" i="1"/>
  <c r="E258" i="1"/>
  <c r="D258" i="1"/>
  <c r="B258" i="1"/>
  <c r="A258" i="1"/>
  <c r="G257" i="1"/>
  <c r="F257" i="1"/>
  <c r="E257" i="1"/>
  <c r="D257" i="1"/>
  <c r="B257" i="1"/>
  <c r="A257" i="1"/>
  <c r="G256" i="1"/>
  <c r="F256" i="1"/>
  <c r="E256" i="1"/>
  <c r="D256" i="1"/>
  <c r="B256" i="1"/>
  <c r="A256" i="1"/>
  <c r="G255" i="1"/>
  <c r="F255" i="1"/>
  <c r="E255" i="1"/>
  <c r="D255" i="1"/>
  <c r="B255" i="1"/>
  <c r="A255" i="1"/>
  <c r="G254" i="1"/>
  <c r="F254" i="1"/>
  <c r="E254" i="1"/>
  <c r="D254" i="1"/>
  <c r="B254" i="1"/>
  <c r="A254" i="1"/>
  <c r="G253" i="1"/>
  <c r="F253" i="1"/>
  <c r="E253" i="1"/>
  <c r="D253" i="1"/>
  <c r="B253" i="1"/>
  <c r="A253" i="1"/>
  <c r="G252" i="1"/>
  <c r="F252" i="1"/>
  <c r="E252" i="1"/>
  <c r="D252" i="1"/>
  <c r="B252" i="1"/>
  <c r="A252" i="1"/>
  <c r="G251" i="1"/>
  <c r="F251" i="1"/>
  <c r="E251" i="1"/>
  <c r="D251" i="1"/>
  <c r="B251" i="1"/>
  <c r="A251" i="1"/>
  <c r="G250" i="1"/>
  <c r="F250" i="1"/>
  <c r="E250" i="1"/>
  <c r="D250" i="1"/>
  <c r="B250" i="1"/>
  <c r="A250" i="1"/>
  <c r="G249" i="1"/>
  <c r="F249" i="1"/>
  <c r="E249" i="1"/>
  <c r="D249" i="1"/>
  <c r="B249" i="1"/>
  <c r="A249" i="1"/>
  <c r="G248" i="1"/>
  <c r="F248" i="1"/>
  <c r="E248" i="1"/>
  <c r="D248" i="1"/>
  <c r="B248" i="1"/>
  <c r="A248" i="1"/>
  <c r="G247" i="1"/>
  <c r="F247" i="1"/>
  <c r="E247" i="1"/>
  <c r="D247" i="1"/>
  <c r="B247" i="1"/>
  <c r="A247" i="1"/>
  <c r="G246" i="1"/>
  <c r="F246" i="1"/>
  <c r="E246" i="1"/>
  <c r="D246" i="1"/>
  <c r="B246" i="1"/>
  <c r="A246" i="1"/>
  <c r="G245" i="1"/>
  <c r="F245" i="1"/>
  <c r="E245" i="1"/>
  <c r="D245" i="1"/>
  <c r="B245" i="1"/>
  <c r="A245" i="1"/>
  <c r="G244" i="1"/>
  <c r="F244" i="1"/>
  <c r="E244" i="1"/>
  <c r="D244" i="1"/>
  <c r="B244" i="1"/>
  <c r="A244" i="1"/>
  <c r="G243" i="1"/>
  <c r="F243" i="1"/>
  <c r="E243" i="1"/>
  <c r="D243" i="1"/>
  <c r="B243" i="1"/>
  <c r="A243" i="1"/>
  <c r="G242" i="1"/>
  <c r="F242" i="1"/>
  <c r="E242" i="1"/>
  <c r="D242" i="1"/>
  <c r="B242" i="1"/>
  <c r="A242" i="1"/>
  <c r="G241" i="1"/>
  <c r="F241" i="1"/>
  <c r="E241" i="1"/>
  <c r="D241" i="1"/>
  <c r="B241" i="1"/>
  <c r="A241" i="1"/>
  <c r="G240" i="1"/>
  <c r="F240" i="1"/>
  <c r="E240" i="1"/>
  <c r="D240" i="1"/>
  <c r="B240" i="1"/>
  <c r="A240" i="1"/>
  <c r="G239" i="1"/>
  <c r="F239" i="1"/>
  <c r="E239" i="1"/>
  <c r="D239" i="1"/>
  <c r="B239" i="1"/>
  <c r="A239" i="1"/>
  <c r="G238" i="1"/>
  <c r="F238" i="1"/>
  <c r="E238" i="1"/>
  <c r="D238" i="1"/>
  <c r="B238" i="1"/>
  <c r="A238" i="1"/>
  <c r="G237" i="1"/>
  <c r="F237" i="1"/>
  <c r="E237" i="1"/>
  <c r="D237" i="1"/>
  <c r="B237" i="1"/>
  <c r="A237" i="1"/>
  <c r="G236" i="1"/>
  <c r="F236" i="1"/>
  <c r="E236" i="1"/>
  <c r="D236" i="1"/>
  <c r="B236" i="1"/>
  <c r="A236" i="1"/>
  <c r="G235" i="1"/>
  <c r="F235" i="1"/>
  <c r="E235" i="1"/>
  <c r="D235" i="1"/>
  <c r="B235" i="1"/>
  <c r="A235" i="1"/>
  <c r="G234" i="1"/>
  <c r="F234" i="1"/>
  <c r="E234" i="1"/>
  <c r="D234" i="1"/>
  <c r="B234" i="1"/>
  <c r="A234" i="1"/>
  <c r="G233" i="1"/>
  <c r="F233" i="1"/>
  <c r="E233" i="1"/>
  <c r="D233" i="1"/>
  <c r="B233" i="1"/>
  <c r="A233" i="1"/>
  <c r="G232" i="1"/>
  <c r="F232" i="1"/>
  <c r="E232" i="1"/>
  <c r="D232" i="1"/>
  <c r="B232" i="1"/>
  <c r="A232" i="1"/>
  <c r="G231" i="1"/>
  <c r="F231" i="1"/>
  <c r="E231" i="1"/>
  <c r="D231" i="1"/>
  <c r="B231" i="1"/>
  <c r="A231" i="1"/>
  <c r="G230" i="1"/>
  <c r="F230" i="1"/>
  <c r="E230" i="1"/>
  <c r="D230" i="1"/>
  <c r="B230" i="1"/>
  <c r="A230" i="1"/>
  <c r="G229" i="1"/>
  <c r="F229" i="1"/>
  <c r="E229" i="1"/>
  <c r="D229" i="1"/>
  <c r="B229" i="1"/>
  <c r="A229" i="1"/>
  <c r="G228" i="1"/>
  <c r="F228" i="1"/>
  <c r="E228" i="1"/>
  <c r="D228" i="1"/>
  <c r="B228" i="1"/>
  <c r="A228" i="1"/>
  <c r="G227" i="1"/>
  <c r="F227" i="1"/>
  <c r="E227" i="1"/>
  <c r="D227" i="1"/>
  <c r="B227" i="1"/>
  <c r="A227" i="1"/>
  <c r="G226" i="1"/>
  <c r="F226" i="1"/>
  <c r="E226" i="1"/>
  <c r="D226" i="1"/>
  <c r="B226" i="1"/>
  <c r="A226" i="1"/>
  <c r="G225" i="1"/>
  <c r="F225" i="1"/>
  <c r="E225" i="1"/>
  <c r="D225" i="1"/>
  <c r="B225" i="1"/>
  <c r="A225" i="1"/>
  <c r="G224" i="1"/>
  <c r="F224" i="1"/>
  <c r="E224" i="1"/>
  <c r="D224" i="1"/>
  <c r="B224" i="1"/>
  <c r="A224" i="1"/>
  <c r="G223" i="1"/>
  <c r="F223" i="1"/>
  <c r="E223" i="1"/>
  <c r="D223" i="1"/>
  <c r="B223" i="1"/>
  <c r="A223" i="1"/>
  <c r="G222" i="1"/>
  <c r="F222" i="1"/>
  <c r="E222" i="1"/>
  <c r="D222" i="1"/>
  <c r="B222" i="1"/>
  <c r="A222" i="1"/>
  <c r="G221" i="1"/>
  <c r="F221" i="1"/>
  <c r="E221" i="1"/>
  <c r="D221" i="1"/>
  <c r="B221" i="1"/>
  <c r="A221" i="1"/>
  <c r="G220" i="1"/>
  <c r="F220" i="1"/>
  <c r="E220" i="1"/>
  <c r="D220" i="1"/>
  <c r="B220" i="1"/>
  <c r="A220" i="1"/>
  <c r="G219" i="1"/>
  <c r="F219" i="1"/>
  <c r="E219" i="1"/>
  <c r="D219" i="1"/>
  <c r="B219" i="1"/>
  <c r="A219" i="1"/>
  <c r="G218" i="1"/>
  <c r="F218" i="1"/>
  <c r="E218" i="1"/>
  <c r="D218" i="1"/>
  <c r="B218" i="1"/>
  <c r="A218" i="1"/>
  <c r="G217" i="1"/>
  <c r="F217" i="1"/>
  <c r="E217" i="1"/>
  <c r="D217" i="1"/>
  <c r="B217" i="1"/>
  <c r="A217" i="1"/>
  <c r="G216" i="1"/>
  <c r="F216" i="1"/>
  <c r="E216" i="1"/>
  <c r="D216" i="1"/>
  <c r="B216" i="1"/>
  <c r="A216" i="1"/>
  <c r="G215" i="1"/>
  <c r="F215" i="1"/>
  <c r="E215" i="1"/>
  <c r="D215" i="1"/>
  <c r="B215" i="1"/>
  <c r="A215" i="1"/>
  <c r="G214" i="1"/>
  <c r="F214" i="1"/>
  <c r="E214" i="1"/>
  <c r="D214" i="1"/>
  <c r="B214" i="1"/>
  <c r="A214" i="1"/>
  <c r="G213" i="1"/>
  <c r="F213" i="1"/>
  <c r="E213" i="1"/>
  <c r="D213" i="1"/>
  <c r="B213" i="1"/>
  <c r="A213" i="1"/>
  <c r="G212" i="1"/>
  <c r="F212" i="1"/>
  <c r="E212" i="1"/>
  <c r="D212" i="1"/>
  <c r="B212" i="1"/>
  <c r="A212" i="1"/>
  <c r="G211" i="1"/>
  <c r="F211" i="1"/>
  <c r="E211" i="1"/>
  <c r="D211" i="1"/>
  <c r="B211" i="1"/>
  <c r="A211" i="1"/>
  <c r="G210" i="1"/>
  <c r="F210" i="1"/>
  <c r="E210" i="1"/>
  <c r="D210" i="1"/>
  <c r="B210" i="1"/>
  <c r="A210" i="1"/>
  <c r="G209" i="1"/>
  <c r="F209" i="1"/>
  <c r="E209" i="1"/>
  <c r="D209" i="1"/>
  <c r="B209" i="1"/>
  <c r="A209" i="1"/>
  <c r="G208" i="1"/>
  <c r="F208" i="1"/>
  <c r="E208" i="1"/>
  <c r="D208" i="1"/>
  <c r="B208" i="1"/>
  <c r="A208" i="1"/>
  <c r="G207" i="1"/>
  <c r="F207" i="1"/>
  <c r="E207" i="1"/>
  <c r="D207" i="1"/>
  <c r="B207" i="1"/>
  <c r="A207" i="1"/>
  <c r="G206" i="1"/>
  <c r="F206" i="1"/>
  <c r="E206" i="1"/>
  <c r="D206" i="1"/>
  <c r="B206" i="1"/>
  <c r="A206" i="1"/>
  <c r="G205" i="1"/>
  <c r="F205" i="1"/>
  <c r="E205" i="1"/>
  <c r="D205" i="1"/>
  <c r="B205" i="1"/>
  <c r="A205" i="1"/>
  <c r="G204" i="1"/>
  <c r="F204" i="1"/>
  <c r="E204" i="1"/>
  <c r="D204" i="1"/>
  <c r="B204" i="1"/>
  <c r="A204" i="1"/>
  <c r="G203" i="1"/>
  <c r="F203" i="1"/>
  <c r="E203" i="1"/>
  <c r="D203" i="1"/>
  <c r="B203" i="1"/>
  <c r="A203" i="1"/>
  <c r="G202" i="1"/>
  <c r="F202" i="1"/>
  <c r="E202" i="1"/>
  <c r="D202" i="1"/>
  <c r="B202" i="1"/>
  <c r="A202" i="1"/>
  <c r="G201" i="1"/>
  <c r="F201" i="1"/>
  <c r="E201" i="1"/>
  <c r="D201" i="1"/>
  <c r="B201" i="1"/>
  <c r="A201" i="1"/>
  <c r="G200" i="1"/>
  <c r="F200" i="1"/>
  <c r="E200" i="1"/>
  <c r="D200" i="1"/>
  <c r="B200" i="1"/>
  <c r="A200" i="1"/>
  <c r="G199" i="1"/>
  <c r="F199" i="1"/>
  <c r="E199" i="1"/>
  <c r="D199" i="1"/>
  <c r="B199" i="1"/>
  <c r="A199" i="1"/>
  <c r="G198" i="1"/>
  <c r="F198" i="1"/>
  <c r="E198" i="1"/>
  <c r="D198" i="1"/>
  <c r="B198" i="1"/>
  <c r="A198" i="1"/>
  <c r="G197" i="1"/>
  <c r="F197" i="1"/>
  <c r="E197" i="1"/>
  <c r="D197" i="1"/>
  <c r="B197" i="1"/>
  <c r="A197" i="1"/>
  <c r="G196" i="1"/>
  <c r="F196" i="1"/>
  <c r="E196" i="1"/>
  <c r="D196" i="1"/>
  <c r="B196" i="1"/>
  <c r="A196" i="1"/>
  <c r="G195" i="1"/>
  <c r="F195" i="1"/>
  <c r="E195" i="1"/>
  <c r="D195" i="1"/>
  <c r="B195" i="1"/>
  <c r="A195" i="1"/>
  <c r="G194" i="1"/>
  <c r="F194" i="1"/>
  <c r="E194" i="1"/>
  <c r="D194" i="1"/>
  <c r="B194" i="1"/>
  <c r="A194" i="1"/>
  <c r="G193" i="1"/>
  <c r="F193" i="1"/>
  <c r="E193" i="1"/>
  <c r="D193" i="1"/>
  <c r="B193" i="1"/>
  <c r="A193" i="1"/>
  <c r="G192" i="1"/>
  <c r="F192" i="1"/>
  <c r="E192" i="1"/>
  <c r="D192" i="1"/>
  <c r="B192" i="1"/>
  <c r="A192" i="1"/>
  <c r="G191" i="1"/>
  <c r="F191" i="1"/>
  <c r="E191" i="1"/>
  <c r="D191" i="1"/>
  <c r="B191" i="1"/>
  <c r="A191" i="1"/>
  <c r="G190" i="1"/>
  <c r="F190" i="1"/>
  <c r="E190" i="1"/>
  <c r="D190" i="1"/>
  <c r="B190" i="1"/>
  <c r="A190" i="1"/>
  <c r="G189" i="1"/>
  <c r="F189" i="1"/>
  <c r="E189" i="1"/>
  <c r="D189" i="1"/>
  <c r="B189" i="1"/>
  <c r="A189" i="1"/>
  <c r="G188" i="1"/>
  <c r="F188" i="1"/>
  <c r="E188" i="1"/>
  <c r="D188" i="1"/>
  <c r="B188" i="1"/>
  <c r="A188" i="1"/>
  <c r="G187" i="1"/>
  <c r="F187" i="1"/>
  <c r="E187" i="1"/>
  <c r="D187" i="1"/>
  <c r="B187" i="1"/>
  <c r="A187" i="1"/>
  <c r="G186" i="1"/>
  <c r="F186" i="1"/>
  <c r="E186" i="1"/>
  <c r="D186" i="1"/>
  <c r="B186" i="1"/>
  <c r="A186" i="1"/>
  <c r="G185" i="1"/>
  <c r="F185" i="1"/>
  <c r="E185" i="1"/>
  <c r="D185" i="1"/>
  <c r="B185" i="1"/>
  <c r="A185" i="1"/>
  <c r="G184" i="1"/>
  <c r="F184" i="1"/>
  <c r="E184" i="1"/>
  <c r="D184" i="1"/>
  <c r="B184" i="1"/>
  <c r="A184" i="1"/>
  <c r="G183" i="1"/>
  <c r="F183" i="1"/>
  <c r="E183" i="1"/>
  <c r="D183" i="1"/>
  <c r="B183" i="1"/>
  <c r="A183" i="1"/>
  <c r="G182" i="1"/>
  <c r="F182" i="1"/>
  <c r="E182" i="1"/>
  <c r="D182" i="1"/>
  <c r="B182" i="1"/>
  <c r="A182" i="1"/>
  <c r="G181" i="1"/>
  <c r="F181" i="1"/>
  <c r="E181" i="1"/>
  <c r="D181" i="1"/>
  <c r="B181" i="1"/>
  <c r="A181" i="1"/>
  <c r="G180" i="1"/>
  <c r="F180" i="1"/>
  <c r="E180" i="1"/>
  <c r="D180" i="1"/>
  <c r="B180" i="1"/>
  <c r="A180" i="1"/>
  <c r="G179" i="1"/>
  <c r="F179" i="1"/>
  <c r="E179" i="1"/>
  <c r="D179" i="1"/>
  <c r="B179" i="1"/>
  <c r="A179" i="1"/>
  <c r="G178" i="1"/>
  <c r="F178" i="1"/>
  <c r="E178" i="1"/>
  <c r="D178" i="1"/>
  <c r="B178" i="1"/>
  <c r="A178" i="1"/>
  <c r="G177" i="1"/>
  <c r="F177" i="1"/>
  <c r="E177" i="1"/>
  <c r="D177" i="1"/>
  <c r="B177" i="1"/>
  <c r="A177" i="1"/>
  <c r="G176" i="1"/>
  <c r="F176" i="1"/>
  <c r="E176" i="1"/>
  <c r="D176" i="1"/>
  <c r="B176" i="1"/>
  <c r="A176" i="1"/>
  <c r="G175" i="1"/>
  <c r="F175" i="1"/>
  <c r="E175" i="1"/>
  <c r="D175" i="1"/>
  <c r="B175" i="1"/>
  <c r="A175" i="1"/>
  <c r="G174" i="1"/>
  <c r="F174" i="1"/>
  <c r="E174" i="1"/>
  <c r="D174" i="1"/>
  <c r="B174" i="1"/>
  <c r="A174" i="1"/>
  <c r="G173" i="1"/>
  <c r="F173" i="1"/>
  <c r="E173" i="1"/>
  <c r="D173" i="1"/>
  <c r="B173" i="1"/>
  <c r="A173" i="1"/>
  <c r="G172" i="1"/>
  <c r="F172" i="1"/>
  <c r="E172" i="1"/>
  <c r="D172" i="1"/>
  <c r="B172" i="1"/>
  <c r="A172" i="1"/>
  <c r="G171" i="1"/>
  <c r="F171" i="1"/>
  <c r="E171" i="1"/>
  <c r="D171" i="1"/>
  <c r="B171" i="1"/>
  <c r="A171" i="1"/>
  <c r="G170" i="1"/>
  <c r="F170" i="1"/>
  <c r="E170" i="1"/>
  <c r="D170" i="1"/>
  <c r="B170" i="1"/>
  <c r="A170" i="1"/>
  <c r="G169" i="1"/>
  <c r="F169" i="1"/>
  <c r="E169" i="1"/>
  <c r="D169" i="1"/>
  <c r="B169" i="1"/>
  <c r="A169" i="1"/>
  <c r="G168" i="1"/>
  <c r="F168" i="1"/>
  <c r="E168" i="1"/>
  <c r="D168" i="1"/>
  <c r="B168" i="1"/>
  <c r="A168" i="1"/>
  <c r="G167" i="1"/>
  <c r="F167" i="1"/>
  <c r="E167" i="1"/>
  <c r="D167" i="1"/>
  <c r="B167" i="1"/>
  <c r="A167" i="1"/>
  <c r="G166" i="1"/>
  <c r="F166" i="1"/>
  <c r="E166" i="1"/>
  <c r="D166" i="1"/>
  <c r="B166" i="1"/>
  <c r="A166" i="1"/>
  <c r="G165" i="1"/>
  <c r="F165" i="1"/>
  <c r="E165" i="1"/>
  <c r="D165" i="1"/>
  <c r="B165" i="1"/>
  <c r="A165" i="1"/>
  <c r="G164" i="1"/>
  <c r="F164" i="1"/>
  <c r="E164" i="1"/>
  <c r="D164" i="1"/>
  <c r="B164" i="1"/>
  <c r="A164" i="1"/>
  <c r="G163" i="1"/>
  <c r="F163" i="1"/>
  <c r="E163" i="1"/>
  <c r="D163" i="1"/>
  <c r="B163" i="1"/>
  <c r="A163" i="1"/>
  <c r="G162" i="1"/>
  <c r="F162" i="1"/>
  <c r="E162" i="1"/>
  <c r="D162" i="1"/>
  <c r="B162" i="1"/>
  <c r="A162" i="1"/>
  <c r="G161" i="1"/>
  <c r="F161" i="1"/>
  <c r="E161" i="1"/>
  <c r="D161" i="1"/>
  <c r="B161" i="1"/>
  <c r="A161" i="1"/>
  <c r="G160" i="1"/>
  <c r="F160" i="1"/>
  <c r="E160" i="1"/>
  <c r="D160" i="1"/>
  <c r="B160" i="1"/>
  <c r="A160" i="1"/>
  <c r="G159" i="1"/>
  <c r="F159" i="1"/>
  <c r="E159" i="1"/>
  <c r="D159" i="1"/>
  <c r="B159" i="1"/>
  <c r="A159" i="1"/>
  <c r="G158" i="1"/>
  <c r="F158" i="1"/>
  <c r="E158" i="1"/>
  <c r="D158" i="1"/>
  <c r="B158" i="1"/>
  <c r="A158" i="1"/>
  <c r="G157" i="1"/>
  <c r="F157" i="1"/>
  <c r="E157" i="1"/>
  <c r="D157" i="1"/>
  <c r="B157" i="1"/>
  <c r="A157" i="1"/>
  <c r="G156" i="1"/>
  <c r="F156" i="1"/>
  <c r="E156" i="1"/>
  <c r="D156" i="1"/>
  <c r="B156" i="1"/>
  <c r="A156" i="1"/>
  <c r="G155" i="1"/>
  <c r="F155" i="1"/>
  <c r="E155" i="1"/>
  <c r="D155" i="1"/>
  <c r="B155" i="1"/>
  <c r="A155" i="1"/>
  <c r="G154" i="1"/>
  <c r="F154" i="1"/>
  <c r="E154" i="1"/>
  <c r="D154" i="1"/>
  <c r="B154" i="1"/>
  <c r="A154" i="1"/>
  <c r="G153" i="1"/>
  <c r="F153" i="1"/>
  <c r="E153" i="1"/>
  <c r="D153" i="1"/>
  <c r="B153" i="1"/>
  <c r="A153" i="1"/>
  <c r="G152" i="1"/>
  <c r="F152" i="1"/>
  <c r="E152" i="1"/>
  <c r="D152" i="1"/>
  <c r="B152" i="1"/>
  <c r="A152" i="1"/>
  <c r="G151" i="1"/>
  <c r="F151" i="1"/>
  <c r="E151" i="1"/>
  <c r="D151" i="1"/>
  <c r="B151" i="1"/>
  <c r="A151" i="1"/>
  <c r="G150" i="1"/>
  <c r="F150" i="1"/>
  <c r="E150" i="1"/>
  <c r="D150" i="1"/>
  <c r="B150" i="1"/>
  <c r="A150" i="1"/>
  <c r="B131" i="1"/>
  <c r="A4" i="1"/>
  <c r="B4" i="1"/>
  <c r="D4" i="1"/>
  <c r="E4" i="1"/>
  <c r="F4" i="1"/>
  <c r="G4" i="1"/>
  <c r="A5" i="1"/>
  <c r="B5" i="1"/>
  <c r="D5" i="1"/>
  <c r="E5" i="1"/>
  <c r="F5" i="1"/>
  <c r="G5" i="1"/>
  <c r="A6" i="1"/>
  <c r="B6" i="1"/>
  <c r="D6" i="1"/>
  <c r="E6" i="1"/>
  <c r="F6" i="1"/>
  <c r="G6" i="1"/>
  <c r="A7" i="1"/>
  <c r="B7" i="1"/>
  <c r="D7" i="1"/>
  <c r="E7" i="1"/>
  <c r="F7" i="1"/>
  <c r="G7" i="1"/>
  <c r="A8" i="1"/>
  <c r="B8" i="1"/>
  <c r="D8" i="1"/>
  <c r="E8" i="1"/>
  <c r="F8" i="1"/>
  <c r="G8" i="1"/>
  <c r="A9" i="1"/>
  <c r="B9" i="1"/>
  <c r="D9" i="1"/>
  <c r="E9" i="1"/>
  <c r="F9" i="1"/>
  <c r="G9" i="1"/>
  <c r="A10" i="1"/>
  <c r="B10" i="1"/>
  <c r="D10" i="1"/>
  <c r="E10" i="1"/>
  <c r="F10" i="1"/>
  <c r="G10" i="1"/>
  <c r="A11" i="1"/>
  <c r="B11" i="1"/>
  <c r="D11" i="1"/>
  <c r="E11" i="1"/>
  <c r="F11" i="1"/>
  <c r="G11" i="1"/>
  <c r="A12" i="1"/>
  <c r="B12" i="1"/>
  <c r="D12" i="1"/>
  <c r="E12" i="1"/>
  <c r="F12" i="1"/>
  <c r="G12" i="1"/>
  <c r="A13" i="1"/>
  <c r="B13" i="1"/>
  <c r="D13" i="1"/>
  <c r="E13" i="1"/>
  <c r="F13" i="1"/>
  <c r="G13" i="1"/>
  <c r="A14" i="1"/>
  <c r="B14" i="1"/>
  <c r="D14" i="1"/>
  <c r="E14" i="1"/>
  <c r="F14" i="1"/>
  <c r="G14" i="1"/>
  <c r="A15" i="1"/>
  <c r="B15" i="1"/>
  <c r="D15" i="1"/>
  <c r="E15" i="1"/>
  <c r="F15" i="1"/>
  <c r="G15" i="1"/>
  <c r="A16" i="1"/>
  <c r="B16" i="1"/>
  <c r="D16" i="1"/>
  <c r="E16" i="1"/>
  <c r="F16" i="1"/>
  <c r="G16" i="1"/>
  <c r="A17" i="1"/>
  <c r="B17" i="1"/>
  <c r="D17" i="1"/>
  <c r="E17" i="1"/>
  <c r="F17" i="1"/>
  <c r="G17" i="1"/>
  <c r="A18" i="1"/>
  <c r="B18" i="1"/>
  <c r="D18" i="1"/>
  <c r="E18" i="1"/>
  <c r="F18" i="1"/>
  <c r="G18" i="1"/>
  <c r="A19" i="1"/>
  <c r="B19" i="1"/>
  <c r="D19" i="1"/>
  <c r="E19" i="1"/>
  <c r="F19" i="1"/>
  <c r="G19" i="1"/>
  <c r="A21" i="1"/>
  <c r="C21" i="1"/>
  <c r="D21" i="1"/>
  <c r="E21" i="1"/>
  <c r="F21" i="1"/>
  <c r="G21" i="1"/>
  <c r="A23" i="1"/>
  <c r="C23" i="1"/>
  <c r="D23" i="1"/>
  <c r="E23" i="1"/>
  <c r="F23" i="1"/>
  <c r="G23" i="1"/>
  <c r="A24" i="1"/>
  <c r="B24" i="1"/>
  <c r="D24" i="1"/>
  <c r="E24" i="1"/>
  <c r="F24" i="1"/>
  <c r="G24" i="1"/>
  <c r="A25" i="1"/>
  <c r="B25" i="1"/>
  <c r="D25" i="1"/>
  <c r="E25" i="1"/>
  <c r="F25" i="1"/>
  <c r="G25" i="1"/>
  <c r="A26" i="1"/>
  <c r="B26" i="1"/>
  <c r="D26" i="1"/>
  <c r="E26" i="1"/>
  <c r="F26" i="1"/>
  <c r="G26" i="1"/>
  <c r="A27" i="1"/>
  <c r="B27" i="1"/>
  <c r="D27" i="1"/>
  <c r="E27" i="1"/>
  <c r="F27" i="1"/>
  <c r="G27" i="1"/>
  <c r="A28" i="1"/>
  <c r="B28" i="1"/>
  <c r="D28" i="1"/>
  <c r="E28" i="1"/>
  <c r="F28" i="1"/>
  <c r="G28" i="1"/>
  <c r="A29" i="1"/>
  <c r="B29" i="1"/>
  <c r="D29" i="1"/>
  <c r="E29" i="1"/>
  <c r="F29" i="1"/>
  <c r="G29" i="1"/>
  <c r="A30" i="1"/>
  <c r="B30" i="1"/>
  <c r="D30" i="1"/>
  <c r="E30" i="1"/>
  <c r="F30" i="1"/>
  <c r="G30" i="1"/>
  <c r="A31" i="1"/>
  <c r="B31" i="1"/>
  <c r="D31" i="1"/>
  <c r="E31" i="1"/>
  <c r="F31" i="1"/>
  <c r="G31" i="1"/>
  <c r="A32" i="1"/>
  <c r="B32" i="1"/>
  <c r="D32" i="1"/>
  <c r="E32" i="1"/>
  <c r="F32" i="1"/>
  <c r="G32" i="1"/>
  <c r="A33" i="1"/>
  <c r="B33" i="1"/>
  <c r="D33" i="1"/>
  <c r="E33" i="1"/>
  <c r="F33" i="1"/>
  <c r="G33" i="1"/>
  <c r="A34" i="1"/>
  <c r="B34" i="1"/>
  <c r="D34" i="1"/>
  <c r="E34" i="1"/>
  <c r="F34" i="1"/>
  <c r="G34" i="1"/>
  <c r="A35" i="1"/>
  <c r="B35" i="1"/>
  <c r="D35" i="1"/>
  <c r="E35" i="1"/>
  <c r="F35" i="1"/>
  <c r="G35" i="1"/>
  <c r="A36" i="1"/>
  <c r="B36" i="1"/>
  <c r="D36" i="1"/>
  <c r="E36" i="1"/>
  <c r="F36" i="1"/>
  <c r="G36" i="1"/>
  <c r="A37" i="1"/>
  <c r="B37" i="1"/>
  <c r="D37" i="1"/>
  <c r="E37" i="1"/>
  <c r="F37" i="1"/>
  <c r="G37" i="1"/>
  <c r="A38" i="1"/>
  <c r="B38" i="1"/>
  <c r="D38" i="1"/>
  <c r="E38" i="1"/>
  <c r="F38" i="1"/>
  <c r="G38" i="1"/>
  <c r="A39" i="1"/>
  <c r="B39" i="1"/>
  <c r="D39" i="1"/>
  <c r="E39" i="1"/>
  <c r="F39" i="1"/>
  <c r="G39" i="1"/>
  <c r="A40" i="1"/>
  <c r="B40" i="1"/>
  <c r="D40" i="1"/>
  <c r="E40" i="1"/>
  <c r="F40" i="1"/>
  <c r="G40" i="1"/>
  <c r="A41" i="1"/>
  <c r="B41" i="1"/>
  <c r="D41" i="1"/>
  <c r="E41" i="1"/>
  <c r="F41" i="1"/>
  <c r="G41" i="1"/>
  <c r="A42" i="1"/>
  <c r="B42" i="1"/>
  <c r="D42" i="1"/>
  <c r="E42" i="1"/>
  <c r="F42" i="1"/>
  <c r="G42" i="1"/>
  <c r="A43" i="1"/>
  <c r="B43" i="1"/>
  <c r="D43" i="1"/>
  <c r="E43" i="1"/>
  <c r="F43" i="1"/>
  <c r="G43" i="1"/>
  <c r="A44" i="1"/>
  <c r="B44" i="1"/>
  <c r="D44" i="1"/>
  <c r="E44" i="1"/>
  <c r="F44" i="1"/>
  <c r="G44" i="1"/>
  <c r="A45" i="1"/>
  <c r="B45" i="1"/>
  <c r="D45" i="1"/>
  <c r="E45" i="1"/>
  <c r="F45" i="1"/>
  <c r="G45" i="1"/>
  <c r="A46" i="1"/>
  <c r="B46" i="1"/>
  <c r="D46" i="1"/>
  <c r="E46" i="1"/>
  <c r="F46" i="1"/>
  <c r="G46" i="1"/>
  <c r="A47" i="1"/>
  <c r="B47" i="1"/>
  <c r="D47" i="1"/>
  <c r="E47" i="1"/>
  <c r="F47" i="1"/>
  <c r="G47" i="1"/>
  <c r="A48" i="1"/>
  <c r="B48" i="1"/>
  <c r="D48" i="1"/>
  <c r="E48" i="1"/>
  <c r="F48" i="1"/>
  <c r="G48" i="1"/>
  <c r="A49" i="1"/>
  <c r="B49" i="1"/>
  <c r="D49" i="1"/>
  <c r="E49" i="1"/>
  <c r="F49" i="1"/>
  <c r="G49" i="1"/>
  <c r="A50" i="1"/>
  <c r="B50" i="1"/>
  <c r="D50" i="1"/>
  <c r="E50" i="1"/>
  <c r="F50" i="1"/>
  <c r="G50" i="1"/>
  <c r="A51" i="1"/>
  <c r="B51" i="1"/>
  <c r="D51" i="1"/>
  <c r="E51" i="1"/>
  <c r="F51" i="1"/>
  <c r="G51" i="1"/>
  <c r="A52" i="1"/>
  <c r="B52" i="1"/>
  <c r="D52" i="1"/>
  <c r="E52" i="1"/>
  <c r="F52" i="1"/>
  <c r="G52" i="1"/>
  <c r="A53" i="1"/>
  <c r="B53" i="1"/>
  <c r="D53" i="1"/>
  <c r="E53" i="1"/>
  <c r="F53" i="1"/>
  <c r="G53" i="1"/>
  <c r="A54" i="1"/>
  <c r="B54" i="1"/>
  <c r="D54" i="1"/>
  <c r="E54" i="1"/>
  <c r="F54" i="1"/>
  <c r="G54" i="1"/>
  <c r="A55" i="1"/>
  <c r="B55" i="1"/>
  <c r="D55" i="1"/>
  <c r="E55" i="1"/>
  <c r="F55" i="1"/>
  <c r="G55" i="1"/>
  <c r="A56" i="1"/>
  <c r="B56" i="1"/>
  <c r="D56" i="1"/>
  <c r="E56" i="1"/>
  <c r="F56" i="1"/>
  <c r="G56" i="1"/>
  <c r="A57" i="1"/>
  <c r="B57" i="1"/>
  <c r="D57" i="1"/>
  <c r="E57" i="1"/>
  <c r="F57" i="1"/>
  <c r="G57" i="1"/>
  <c r="A58" i="1"/>
  <c r="B58" i="1"/>
  <c r="D58" i="1"/>
  <c r="E58" i="1"/>
  <c r="F58" i="1"/>
  <c r="G58" i="1"/>
  <c r="A59" i="1"/>
  <c r="B59" i="1"/>
  <c r="D59" i="1"/>
  <c r="E59" i="1"/>
  <c r="F59" i="1"/>
  <c r="G59" i="1"/>
  <c r="A60" i="1"/>
  <c r="B60" i="1"/>
  <c r="D60" i="1"/>
  <c r="E60" i="1"/>
  <c r="F60" i="1"/>
  <c r="G60" i="1"/>
  <c r="A61" i="1"/>
  <c r="B61" i="1"/>
  <c r="D61" i="1"/>
  <c r="E61" i="1"/>
  <c r="F61" i="1"/>
  <c r="G61" i="1"/>
  <c r="A62" i="1"/>
  <c r="B62" i="1"/>
  <c r="D62" i="1"/>
  <c r="E62" i="1"/>
  <c r="F62" i="1"/>
  <c r="G62" i="1"/>
  <c r="A63" i="1"/>
  <c r="B63" i="1"/>
  <c r="D63" i="1"/>
  <c r="E63" i="1"/>
  <c r="F63" i="1"/>
  <c r="G63" i="1"/>
  <c r="A64" i="1"/>
  <c r="B64" i="1"/>
  <c r="D64" i="1"/>
  <c r="E64" i="1"/>
  <c r="F64" i="1"/>
  <c r="G64" i="1"/>
  <c r="A65" i="1"/>
  <c r="B65" i="1"/>
  <c r="D65" i="1"/>
  <c r="E65" i="1"/>
  <c r="F65" i="1"/>
  <c r="G65" i="1"/>
  <c r="A66" i="1"/>
  <c r="B66" i="1"/>
  <c r="D66" i="1"/>
  <c r="E66" i="1"/>
  <c r="F66" i="1"/>
  <c r="G66" i="1"/>
  <c r="A67" i="1"/>
  <c r="B67" i="1"/>
  <c r="D67" i="1"/>
  <c r="E67" i="1"/>
  <c r="F67" i="1"/>
  <c r="G67" i="1"/>
  <c r="A68" i="1"/>
  <c r="B68" i="1"/>
  <c r="D68" i="1"/>
  <c r="E68" i="1"/>
  <c r="F68" i="1"/>
  <c r="G68" i="1"/>
  <c r="A69" i="1"/>
  <c r="B69" i="1"/>
  <c r="D69" i="1"/>
  <c r="E69" i="1"/>
  <c r="F69" i="1"/>
  <c r="G69" i="1"/>
  <c r="A70" i="1"/>
  <c r="B70" i="1"/>
  <c r="D70" i="1"/>
  <c r="E70" i="1"/>
  <c r="F70" i="1"/>
  <c r="G70" i="1"/>
  <c r="A71" i="1"/>
  <c r="B71" i="1"/>
  <c r="D71" i="1"/>
  <c r="E71" i="1"/>
  <c r="F71" i="1"/>
  <c r="G71" i="1"/>
  <c r="A72" i="1"/>
  <c r="B72" i="1"/>
  <c r="D72" i="1"/>
  <c r="E72" i="1"/>
  <c r="F72" i="1"/>
  <c r="G72" i="1"/>
  <c r="A73" i="1"/>
  <c r="B73" i="1"/>
  <c r="D73" i="1"/>
  <c r="E73" i="1"/>
  <c r="F73" i="1"/>
  <c r="G73" i="1"/>
  <c r="A74" i="1"/>
  <c r="B74" i="1"/>
  <c r="D74" i="1"/>
  <c r="E74" i="1"/>
  <c r="F74" i="1"/>
  <c r="G74" i="1"/>
  <c r="A75" i="1"/>
  <c r="B75" i="1"/>
  <c r="D75" i="1"/>
  <c r="E75" i="1"/>
  <c r="F75" i="1"/>
  <c r="G75" i="1"/>
  <c r="A76" i="1"/>
  <c r="B76" i="1"/>
  <c r="D76" i="1"/>
  <c r="E76" i="1"/>
  <c r="F76" i="1"/>
  <c r="G76" i="1"/>
  <c r="A77" i="1"/>
  <c r="B77" i="1"/>
  <c r="D77" i="1"/>
  <c r="E77" i="1"/>
  <c r="F77" i="1"/>
  <c r="G77" i="1"/>
  <c r="A78" i="1"/>
  <c r="B78" i="1"/>
  <c r="D78" i="1"/>
  <c r="E78" i="1"/>
  <c r="F78" i="1"/>
  <c r="G78" i="1"/>
  <c r="A79" i="1"/>
  <c r="B79" i="1"/>
  <c r="D79" i="1"/>
  <c r="E79" i="1"/>
  <c r="F79" i="1"/>
  <c r="G79" i="1"/>
  <c r="A80" i="1"/>
  <c r="B80" i="1"/>
  <c r="D80" i="1"/>
  <c r="E80" i="1"/>
  <c r="F80" i="1"/>
  <c r="G80" i="1"/>
  <c r="A81" i="1"/>
  <c r="B81" i="1"/>
  <c r="D81" i="1"/>
  <c r="E81" i="1"/>
  <c r="F81" i="1"/>
  <c r="G81" i="1"/>
  <c r="A82" i="1"/>
  <c r="B82" i="1"/>
  <c r="D82" i="1"/>
  <c r="E82" i="1"/>
  <c r="F82" i="1"/>
  <c r="G82" i="1"/>
  <c r="A83" i="1"/>
  <c r="B83" i="1"/>
  <c r="D83" i="1"/>
  <c r="E83" i="1"/>
  <c r="F83" i="1"/>
  <c r="G83" i="1"/>
  <c r="A84" i="1"/>
  <c r="B84" i="1"/>
  <c r="D84" i="1"/>
  <c r="E84" i="1"/>
  <c r="F84" i="1"/>
  <c r="G84" i="1"/>
  <c r="A85" i="1"/>
  <c r="B85" i="1"/>
  <c r="D85" i="1"/>
  <c r="E85" i="1"/>
  <c r="F85" i="1"/>
  <c r="G85" i="1"/>
  <c r="A86" i="1"/>
  <c r="B86" i="1"/>
  <c r="D86" i="1"/>
  <c r="E86" i="1"/>
  <c r="F86" i="1"/>
  <c r="G86" i="1"/>
  <c r="A87" i="1"/>
  <c r="B87" i="1"/>
  <c r="D87" i="1"/>
  <c r="E87" i="1"/>
  <c r="F87" i="1"/>
  <c r="G87" i="1"/>
  <c r="A88" i="1"/>
  <c r="B88" i="1"/>
  <c r="D88" i="1"/>
  <c r="E88" i="1"/>
  <c r="F88" i="1"/>
  <c r="G88" i="1"/>
  <c r="A89" i="1"/>
  <c r="B89" i="1"/>
  <c r="D89" i="1"/>
  <c r="E89" i="1"/>
  <c r="F89" i="1"/>
  <c r="G89" i="1"/>
  <c r="A90" i="1"/>
  <c r="B90" i="1"/>
  <c r="D90" i="1"/>
  <c r="E90" i="1"/>
  <c r="F90" i="1"/>
  <c r="G90" i="1"/>
  <c r="A91" i="1"/>
  <c r="B91" i="1"/>
  <c r="D91" i="1"/>
  <c r="E91" i="1"/>
  <c r="F91" i="1"/>
  <c r="G91" i="1"/>
  <c r="A92" i="1"/>
  <c r="B92" i="1"/>
  <c r="D92" i="1"/>
  <c r="E92" i="1"/>
  <c r="F92" i="1"/>
  <c r="G92" i="1"/>
  <c r="A93" i="1"/>
  <c r="B93" i="1"/>
  <c r="D93" i="1"/>
  <c r="E93" i="1"/>
  <c r="F93" i="1"/>
  <c r="G93" i="1"/>
  <c r="A94" i="1"/>
  <c r="B94" i="1"/>
  <c r="D94" i="1"/>
  <c r="E94" i="1"/>
  <c r="F94" i="1"/>
  <c r="G94" i="1"/>
  <c r="A95" i="1"/>
  <c r="B95" i="1"/>
  <c r="D95" i="1"/>
  <c r="E95" i="1"/>
  <c r="F95" i="1"/>
  <c r="G95" i="1"/>
  <c r="A96" i="1"/>
  <c r="B96" i="1"/>
  <c r="D96" i="1"/>
  <c r="E96" i="1"/>
  <c r="F96" i="1"/>
  <c r="G96" i="1"/>
  <c r="A97" i="1"/>
  <c r="B97" i="1"/>
  <c r="D97" i="1"/>
  <c r="E97" i="1"/>
  <c r="F97" i="1"/>
  <c r="G97" i="1"/>
  <c r="A98" i="1"/>
  <c r="B98" i="1"/>
  <c r="D98" i="1"/>
  <c r="E98" i="1"/>
  <c r="F98" i="1"/>
  <c r="G98" i="1"/>
  <c r="A99" i="1"/>
  <c r="B99" i="1"/>
  <c r="D99" i="1"/>
  <c r="E99" i="1"/>
  <c r="F99" i="1"/>
  <c r="G99" i="1"/>
  <c r="A100" i="1"/>
  <c r="B100" i="1"/>
  <c r="D100" i="1"/>
  <c r="E100" i="1"/>
  <c r="F100" i="1"/>
  <c r="G100" i="1"/>
  <c r="A101" i="1"/>
  <c r="B101" i="1"/>
  <c r="D101" i="1"/>
  <c r="E101" i="1"/>
  <c r="F101" i="1"/>
  <c r="G101" i="1"/>
  <c r="A102" i="1"/>
  <c r="B102" i="1"/>
  <c r="D102" i="1"/>
  <c r="E102" i="1"/>
  <c r="F102" i="1"/>
  <c r="G102" i="1"/>
  <c r="A103" i="1"/>
  <c r="B103" i="1"/>
  <c r="D103" i="1"/>
  <c r="E103" i="1"/>
  <c r="F103" i="1"/>
  <c r="G103" i="1"/>
  <c r="A104" i="1"/>
  <c r="B104" i="1"/>
  <c r="D104" i="1"/>
  <c r="E104" i="1"/>
  <c r="F104" i="1"/>
  <c r="G104" i="1"/>
  <c r="A105" i="1"/>
  <c r="B105" i="1"/>
  <c r="D105" i="1"/>
  <c r="E105" i="1"/>
  <c r="F105" i="1"/>
  <c r="G105" i="1"/>
  <c r="A106" i="1"/>
  <c r="B106" i="1"/>
  <c r="D106" i="1"/>
  <c r="E106" i="1"/>
  <c r="F106" i="1"/>
  <c r="G106" i="1"/>
  <c r="A107" i="1"/>
  <c r="B107" i="1"/>
  <c r="D107" i="1"/>
  <c r="E107" i="1"/>
  <c r="F107" i="1"/>
  <c r="G107" i="1"/>
  <c r="A108" i="1"/>
  <c r="B108" i="1"/>
  <c r="D108" i="1"/>
  <c r="E108" i="1"/>
  <c r="F108" i="1"/>
  <c r="G108" i="1"/>
  <c r="A109" i="1"/>
  <c r="B109" i="1"/>
  <c r="D109" i="1"/>
  <c r="E109" i="1"/>
  <c r="F109" i="1"/>
  <c r="G109" i="1"/>
  <c r="A110" i="1"/>
  <c r="B110" i="1"/>
  <c r="D110" i="1"/>
  <c r="E110" i="1"/>
  <c r="F110" i="1"/>
  <c r="G110" i="1"/>
  <c r="A111" i="1"/>
  <c r="B111" i="1"/>
  <c r="D111" i="1"/>
  <c r="E111" i="1"/>
  <c r="F111" i="1"/>
  <c r="G111" i="1"/>
  <c r="A112" i="1"/>
  <c r="B112" i="1"/>
  <c r="D112" i="1"/>
  <c r="E112" i="1"/>
  <c r="F112" i="1"/>
  <c r="G112" i="1"/>
  <c r="A113" i="1"/>
  <c r="B113" i="1"/>
  <c r="D113" i="1"/>
  <c r="E113" i="1"/>
  <c r="F113" i="1"/>
  <c r="G113" i="1"/>
  <c r="A114" i="1"/>
  <c r="B114" i="1"/>
  <c r="D114" i="1"/>
  <c r="E114" i="1"/>
  <c r="F114" i="1"/>
  <c r="G114" i="1"/>
  <c r="A115" i="1"/>
  <c r="B115" i="1"/>
  <c r="D115" i="1"/>
  <c r="E115" i="1"/>
  <c r="F115" i="1"/>
  <c r="G115" i="1"/>
  <c r="A116" i="1"/>
  <c r="B116" i="1"/>
  <c r="D116" i="1"/>
  <c r="E116" i="1"/>
  <c r="F116" i="1"/>
  <c r="G116" i="1"/>
  <c r="A117" i="1"/>
  <c r="B117" i="1"/>
  <c r="D117" i="1"/>
  <c r="E117" i="1"/>
  <c r="F117" i="1"/>
  <c r="G117" i="1"/>
  <c r="A118" i="1"/>
  <c r="B118" i="1"/>
  <c r="D118" i="1"/>
  <c r="E118" i="1"/>
  <c r="F118" i="1"/>
  <c r="G118" i="1"/>
  <c r="A119" i="1"/>
  <c r="B119" i="1"/>
  <c r="D119" i="1"/>
  <c r="E119" i="1"/>
  <c r="F119" i="1"/>
  <c r="G119" i="1"/>
  <c r="A120" i="1"/>
  <c r="B120" i="1"/>
  <c r="D120" i="1"/>
  <c r="E120" i="1"/>
  <c r="F120" i="1"/>
  <c r="G120" i="1"/>
  <c r="A121" i="1"/>
  <c r="B121" i="1"/>
  <c r="D121" i="1"/>
  <c r="E121" i="1"/>
  <c r="F121" i="1"/>
  <c r="G121" i="1"/>
  <c r="A122" i="1"/>
  <c r="B122" i="1"/>
  <c r="D122" i="1"/>
  <c r="E122" i="1"/>
  <c r="F122" i="1"/>
  <c r="G122" i="1"/>
  <c r="A123" i="1"/>
  <c r="B123" i="1"/>
  <c r="D123" i="1"/>
  <c r="E123" i="1"/>
  <c r="F123" i="1"/>
  <c r="G123" i="1"/>
  <c r="A124" i="1"/>
  <c r="B124" i="1"/>
  <c r="D124" i="1"/>
  <c r="E124" i="1"/>
  <c r="F124" i="1"/>
  <c r="G124" i="1"/>
  <c r="A125" i="1"/>
  <c r="B125" i="1"/>
  <c r="D125" i="1"/>
  <c r="E125" i="1"/>
  <c r="F125" i="1"/>
  <c r="G125" i="1"/>
  <c r="A126" i="1"/>
  <c r="B126" i="1"/>
  <c r="D126" i="1"/>
  <c r="E126" i="1"/>
  <c r="F126" i="1"/>
  <c r="G126" i="1"/>
  <c r="A127" i="1"/>
  <c r="B127" i="1"/>
  <c r="D127" i="1"/>
  <c r="E127" i="1"/>
  <c r="F127" i="1"/>
  <c r="G127" i="1"/>
  <c r="A128" i="1"/>
  <c r="B128" i="1"/>
  <c r="D128" i="1"/>
  <c r="E128" i="1"/>
  <c r="F128" i="1"/>
  <c r="G128" i="1"/>
  <c r="A129" i="1"/>
  <c r="B129" i="1"/>
  <c r="D129" i="1"/>
  <c r="E129" i="1"/>
  <c r="F129" i="1"/>
  <c r="G129" i="1"/>
  <c r="A130" i="1"/>
  <c r="B130" i="1"/>
  <c r="D130" i="1"/>
  <c r="E130" i="1"/>
  <c r="F130" i="1"/>
  <c r="G130" i="1"/>
  <c r="A131" i="1"/>
  <c r="D131" i="1"/>
  <c r="E131" i="1"/>
  <c r="F131" i="1"/>
  <c r="G131" i="1"/>
  <c r="A132" i="1"/>
  <c r="B132" i="1"/>
  <c r="D132" i="1"/>
  <c r="E132" i="1"/>
  <c r="F132" i="1"/>
  <c r="G132" i="1"/>
  <c r="A133" i="1"/>
  <c r="B133" i="1"/>
  <c r="D133" i="1"/>
  <c r="E133" i="1"/>
  <c r="F133" i="1"/>
  <c r="G133" i="1"/>
  <c r="A134" i="1"/>
  <c r="B134" i="1"/>
  <c r="D134" i="1"/>
  <c r="E134" i="1"/>
  <c r="F134" i="1"/>
  <c r="G134" i="1"/>
  <c r="A135" i="1"/>
  <c r="B135" i="1"/>
  <c r="D135" i="1"/>
  <c r="E135" i="1"/>
  <c r="F135" i="1"/>
  <c r="G135" i="1"/>
  <c r="A136" i="1"/>
  <c r="B136" i="1"/>
  <c r="D136" i="1"/>
  <c r="E136" i="1"/>
  <c r="F136" i="1"/>
  <c r="G136" i="1"/>
  <c r="A137" i="1"/>
  <c r="B137" i="1"/>
  <c r="D137" i="1"/>
  <c r="E137" i="1"/>
  <c r="F137" i="1"/>
  <c r="G137" i="1"/>
  <c r="A138" i="1"/>
  <c r="B138" i="1"/>
  <c r="D138" i="1"/>
  <c r="E138" i="1"/>
  <c r="F138" i="1"/>
  <c r="G138" i="1"/>
  <c r="A139" i="1"/>
  <c r="B139" i="1"/>
  <c r="D139" i="1"/>
  <c r="E139" i="1"/>
  <c r="F139" i="1"/>
  <c r="G139" i="1"/>
  <c r="A140" i="1"/>
  <c r="B140" i="1"/>
  <c r="D140" i="1"/>
  <c r="E140" i="1"/>
  <c r="F140" i="1"/>
  <c r="G140" i="1"/>
  <c r="A141" i="1"/>
  <c r="B141" i="1"/>
  <c r="D141" i="1"/>
  <c r="E141" i="1"/>
  <c r="F141" i="1"/>
  <c r="G141" i="1"/>
  <c r="A142" i="1"/>
  <c r="B142" i="1"/>
  <c r="D142" i="1"/>
  <c r="E142" i="1"/>
  <c r="F142" i="1"/>
  <c r="G142" i="1"/>
  <c r="A143" i="1"/>
  <c r="B143" i="1"/>
  <c r="D143" i="1"/>
  <c r="E143" i="1"/>
  <c r="F143" i="1"/>
  <c r="G143" i="1"/>
  <c r="A144" i="1"/>
  <c r="B144" i="1"/>
  <c r="D144" i="1"/>
  <c r="E144" i="1"/>
  <c r="F144" i="1"/>
  <c r="G144" i="1"/>
  <c r="A145" i="1"/>
  <c r="B145" i="1"/>
  <c r="D145" i="1"/>
  <c r="E145" i="1"/>
  <c r="F145" i="1"/>
  <c r="G145" i="1"/>
</calcChain>
</file>

<file path=xl/sharedStrings.xml><?xml version="1.0" encoding="utf-8"?>
<sst xmlns="http://schemas.openxmlformats.org/spreadsheetml/2006/main" count="27" uniqueCount="12">
  <si>
    <t>TITLE</t>
  </si>
  <si>
    <t>ISBN</t>
  </si>
  <si>
    <t>PRICE</t>
  </si>
  <si>
    <t>CURR</t>
  </si>
  <si>
    <t>YEAR</t>
  </si>
  <si>
    <t>AUTHOR</t>
  </si>
  <si>
    <t>DISTRIBUTOR</t>
  </si>
  <si>
    <t xml:space="preserve">="Astronomy - At Play in the Cosmos, with Ebook </t>
  </si>
  <si>
    <t>Astronomy</t>
  </si>
  <si>
    <t>Physics</t>
  </si>
  <si>
    <t>Other Basic Sciences</t>
  </si>
  <si>
    <t xml:space="preserve">="Principles of Fire Safety Engineering: Understanding Fire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</si>
</sst>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5"/>
  <sheetViews>
    <sheetView tabSelected="1" topLeftCell="A1173" workbookViewId="0">
      <selection activeCell="B1241" sqref="B1241"/>
    </sheetView>
  </sheetViews>
  <sheetFormatPr defaultRowHeight="14.25" x14ac:dyDescent="0.2"/>
  <cols>
    <col min="1" max="1" width="66.875" style="1" customWidth="1"/>
    <col min="2" max="2" width="14.125" style="1" bestFit="1" customWidth="1"/>
    <col min="3" max="3" width="7.75" style="1" bestFit="1" customWidth="1"/>
    <col min="4" max="4" width="7.25" style="1" bestFit="1" customWidth="1"/>
    <col min="5" max="5" width="10.125" style="1" bestFit="1" customWidth="1"/>
    <col min="6" max="6" width="23.125" style="1" bestFit="1" customWidth="1"/>
    <col min="7" max="7" width="16.375" style="1" bestFit="1" customWidth="1"/>
    <col min="8" max="9" width="9.125" style="1"/>
    <col min="10" max="10" width="9.125" style="3"/>
  </cols>
  <sheetData>
    <row r="1" spans="1:10" x14ac:dyDescent="0.2">
      <c r="A1" s="23" t="s">
        <v>8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thickBot="1" x14ac:dyDescent="0.25">
      <c r="A2" s="26"/>
      <c r="B2" s="26"/>
      <c r="C2" s="26"/>
      <c r="D2" s="26"/>
      <c r="E2" s="26"/>
      <c r="F2" s="26"/>
      <c r="G2" s="26"/>
      <c r="H2" s="26"/>
      <c r="I2" s="26"/>
      <c r="J2" s="27"/>
    </row>
    <row r="3" spans="1:10" ht="29.2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/>
      <c r="I3" s="10"/>
      <c r="J3" s="11"/>
    </row>
    <row r="4" spans="1:10" x14ac:dyDescent="0.2">
      <c r="A4" s="1" t="str">
        <f>"100 GREATEST EVENTS THAT CHANGED THE WORLD"</f>
        <v>100 GREATEST EVENTS THAT CHANGED THE WORLD</v>
      </c>
      <c r="B4" s="1" t="str">
        <f>"9780857346520"</f>
        <v>9780857346520</v>
      </c>
      <c r="C4" s="1">
        <v>10.75</v>
      </c>
      <c r="D4" s="1" t="str">
        <f>"USD"</f>
        <v>USD</v>
      </c>
      <c r="E4" s="1" t="str">
        <f>"2011"</f>
        <v>2011</v>
      </c>
      <c r="F4" s="1" t="str">
        <f>"Aidi,Hisham"</f>
        <v>Aidi,Hisham</v>
      </c>
      <c r="G4" s="1" t="str">
        <f>"bookcity"</f>
        <v>bookcity</v>
      </c>
    </row>
    <row r="5" spans="1:10" x14ac:dyDescent="0.2">
      <c r="A5" s="1" t="str">
        <f>"21st Century Astronomy                                                                                                                                  "</f>
        <v xml:space="preserve">21st Century Astronomy                                                                                                                                  </v>
      </c>
      <c r="B5" s="1" t="str">
        <f>"9780393938999"</f>
        <v>9780393938999</v>
      </c>
      <c r="C5" s="1">
        <v>126.44</v>
      </c>
      <c r="D5" s="1" t="str">
        <f>"USD"</f>
        <v>USD</v>
      </c>
      <c r="E5" s="1" t="str">
        <f>"2016"</f>
        <v>2016</v>
      </c>
      <c r="F5" s="1" t="str">
        <f>"Kay            "</f>
        <v xml:space="preserve">Kay            </v>
      </c>
      <c r="G5" s="1" t="str">
        <f>"jahanadib"</f>
        <v>jahanadib</v>
      </c>
    </row>
    <row r="6" spans="1:10" x14ac:dyDescent="0.2">
      <c r="A6" s="1" t="str">
        <f>"21st Century Astronomy - Stars and Galaxies 5e                                                                                                          "</f>
        <v xml:space="preserve">21st Century Astronomy - Stars and Galaxies 5e                                                                                                          </v>
      </c>
      <c r="B6" s="1" t="str">
        <f>"9780393265125"</f>
        <v>9780393265125</v>
      </c>
      <c r="C6" s="1">
        <v>91.38</v>
      </c>
      <c r="D6" s="1" t="str">
        <f>"USD"</f>
        <v>USD</v>
      </c>
      <c r="E6" s="1" t="str">
        <f>"2016"</f>
        <v>2016</v>
      </c>
      <c r="F6" s="1" t="str">
        <f>"Kay            "</f>
        <v xml:space="preserve">Kay            </v>
      </c>
      <c r="G6" s="1" t="str">
        <f>"jahanadib"</f>
        <v>jahanadib</v>
      </c>
    </row>
    <row r="7" spans="1:10" x14ac:dyDescent="0.2">
      <c r="A7" s="1" t="str">
        <f>"21st Century Astronomy - The Solar System                                                                                                               "</f>
        <v xml:space="preserve">21st Century Astronomy - The Solar System                                                                                                               </v>
      </c>
      <c r="B7" s="1" t="str">
        <f>"9780393265118"</f>
        <v>9780393265118</v>
      </c>
      <c r="C7" s="1">
        <v>91.38</v>
      </c>
      <c r="D7" s="1" t="str">
        <f>"USD"</f>
        <v>USD</v>
      </c>
      <c r="E7" s="1" t="str">
        <f>"2016"</f>
        <v>2016</v>
      </c>
      <c r="F7" s="1" t="str">
        <f>"Kay            "</f>
        <v xml:space="preserve">Kay            </v>
      </c>
      <c r="G7" s="1" t="str">
        <f>"jahanadib"</f>
        <v>jahanadib</v>
      </c>
    </row>
    <row r="8" spans="1:10" x14ac:dyDescent="0.2">
      <c r="A8" s="1" t="str">
        <f>"50 Astronomy Ideas You Really Need to Know"</f>
        <v>50 Astronomy Ideas You Really Need to Know</v>
      </c>
      <c r="B8" s="1" t="str">
        <f>"9781784296100"</f>
        <v>9781784296100</v>
      </c>
      <c r="C8" s="1">
        <v>10.79</v>
      </c>
      <c r="D8" s="1" t="str">
        <f t="shared" ref="D8:D13" si="0">"GBP"</f>
        <v>GBP</v>
      </c>
      <c r="E8" s="1" t="str">
        <f>"2016"</f>
        <v>2016</v>
      </c>
      <c r="F8" s="1" t="str">
        <f>"Giles Sparrow"</f>
        <v>Giles Sparrow</v>
      </c>
      <c r="G8" s="1" t="str">
        <f>"bookcity"</f>
        <v>bookcity</v>
      </c>
    </row>
    <row r="9" spans="1:10" x14ac:dyDescent="0.2">
      <c r="A9" s="1" t="str">
        <f>"A Question and Answer Guide to Astronomy"</f>
        <v>A Question and Answer Guide to Astronomy</v>
      </c>
      <c r="B9" s="1" t="str">
        <f>"9781316615263"</f>
        <v>9781316615263</v>
      </c>
      <c r="C9" s="1">
        <v>17</v>
      </c>
      <c r="D9" s="1" t="str">
        <f t="shared" si="0"/>
        <v>GBP</v>
      </c>
      <c r="E9" s="1" t="str">
        <f>"2017"</f>
        <v>2017</v>
      </c>
      <c r="F9" s="1" t="str">
        <f>"Christian"</f>
        <v>Christian</v>
      </c>
      <c r="G9" s="1" t="str">
        <f>"arzinbooks"</f>
        <v>arzinbooks</v>
      </c>
    </row>
    <row r="10" spans="1:10" x14ac:dyDescent="0.2">
      <c r="A10" s="1" t="str">
        <f>"A Walk through the Heavens: A Guide to Stars and Constellations and their LegendsÂ "</f>
        <v>A Walk through the Heavens: A Guide to Stars and Constellations and their LegendsÂ </v>
      </c>
      <c r="B10" s="1" t="str">
        <f>"9781316645512"</f>
        <v>9781316645512</v>
      </c>
      <c r="C10" s="1">
        <v>12.8</v>
      </c>
      <c r="D10" s="1" t="str">
        <f t="shared" si="0"/>
        <v>GBP</v>
      </c>
      <c r="E10" s="1" t="str">
        <f>"2017"</f>
        <v>2017</v>
      </c>
      <c r="F10" s="1" t="str">
        <f>"Milton D. Heifetz , "</f>
        <v xml:space="preserve">Milton D. Heifetz , </v>
      </c>
      <c r="G10" s="1" t="str">
        <f>"arzinbooks"</f>
        <v>arzinbooks</v>
      </c>
    </row>
    <row r="11" spans="1:10" x14ac:dyDescent="0.2">
      <c r="A11" s="1" t="str">
        <f>"ADVENTURES IN COSMOLOGY"</f>
        <v>ADVENTURES IN COSMOLOGY</v>
      </c>
      <c r="B11" s="1" t="str">
        <f>"9789814313858"</f>
        <v>9789814313858</v>
      </c>
      <c r="C11" s="1">
        <v>42.6</v>
      </c>
      <c r="D11" s="1" t="str">
        <f t="shared" si="0"/>
        <v>GBP</v>
      </c>
      <c r="E11" s="1" t="str">
        <f>"2012"</f>
        <v>2012</v>
      </c>
      <c r="F11" s="1" t="str">
        <f>"GOODSTEIN DAVID L"</f>
        <v>GOODSTEIN DAVID L</v>
      </c>
      <c r="G11" s="1" t="str">
        <f>"AsarBartar"</f>
        <v>AsarBartar</v>
      </c>
    </row>
    <row r="12" spans="1:10" x14ac:dyDescent="0.2">
      <c r="A12" s="1" t="str">
        <f>"An Introduction to Astrobiology"</f>
        <v>An Introduction to Astrobiology</v>
      </c>
      <c r="B12" s="1" t="str">
        <f>"9781108430838"</f>
        <v>9781108430838</v>
      </c>
      <c r="C12" s="1">
        <v>38.299999999999997</v>
      </c>
      <c r="D12" s="1" t="str">
        <f t="shared" si="0"/>
        <v>GBP</v>
      </c>
      <c r="E12" s="1" t="str">
        <f>"2018"</f>
        <v>2018</v>
      </c>
      <c r="F12" s="1" t="str">
        <f>"Rothery"</f>
        <v>Rothery</v>
      </c>
      <c r="G12" s="1" t="str">
        <f>"arzinbooks"</f>
        <v>arzinbooks</v>
      </c>
    </row>
    <row r="13" spans="1:10" x14ac:dyDescent="0.2">
      <c r="A13" s="1" t="str">
        <f>"An Introduction to Modern Astrophysics"</f>
        <v>An Introduction to Modern Astrophysics</v>
      </c>
      <c r="B13" s="1" t="str">
        <f>"9781108422161"</f>
        <v>9781108422161</v>
      </c>
      <c r="C13" s="1">
        <v>63.8</v>
      </c>
      <c r="D13" s="1" t="str">
        <f t="shared" si="0"/>
        <v>GBP</v>
      </c>
      <c r="E13" s="1" t="str">
        <f>"2017"</f>
        <v>2017</v>
      </c>
      <c r="F13" s="1" t="str">
        <f>"Carroll"</f>
        <v>Carroll</v>
      </c>
      <c r="G13" s="1" t="str">
        <f>"arzinbooks"</f>
        <v>arzinbooks</v>
      </c>
    </row>
    <row r="14" spans="1:10" x14ac:dyDescent="0.2">
      <c r="A14" s="1" t="str">
        <f>"An Introduction to Stellar Astrophysics"</f>
        <v>An Introduction to Stellar Astrophysics</v>
      </c>
      <c r="B14" s="1" t="str">
        <f>"9780470699560"</f>
        <v>9780470699560</v>
      </c>
      <c r="C14" s="1">
        <v>44.07</v>
      </c>
      <c r="D14" s="1" t="str">
        <f>"USD"</f>
        <v>USD</v>
      </c>
      <c r="E14" s="1" t="str">
        <f>"2010"</f>
        <v>2010</v>
      </c>
      <c r="F14" s="1" t="str">
        <f>"LeBlanc"</f>
        <v>LeBlanc</v>
      </c>
      <c r="G14" t="str">
        <f>"safirketab"</f>
        <v>safirketab</v>
      </c>
    </row>
    <row r="15" spans="1:10" x14ac:dyDescent="0.2">
      <c r="A15" s="1" t="str">
        <f>"An Introduction to the Solar System"</f>
        <v>An Introduction to the Solar System</v>
      </c>
      <c r="B15" s="1" t="str">
        <f>"9781108430845"</f>
        <v>9781108430845</v>
      </c>
      <c r="C15" s="1">
        <v>38.299999999999997</v>
      </c>
      <c r="D15" s="1" t="str">
        <f>"GBP"</f>
        <v>GBP</v>
      </c>
      <c r="E15" s="1" t="str">
        <f>"2018"</f>
        <v>2018</v>
      </c>
      <c r="F15" s="1" t="str">
        <f>"Rothery"</f>
        <v>Rothery</v>
      </c>
      <c r="G15" s="1" t="str">
        <f>"arzinbooks"</f>
        <v>arzinbooks</v>
      </c>
    </row>
    <row r="16" spans="1:10" x14ac:dyDescent="0.2">
      <c r="A16" s="1" t="str">
        <f>"Asteroids: New Observations, New Models (IAU S318)"</f>
        <v>Asteroids: New Observations, New Models (IAU S318)</v>
      </c>
      <c r="B16" s="1" t="str">
        <f>"9781107138254"</f>
        <v>9781107138254</v>
      </c>
      <c r="C16" s="1">
        <v>60</v>
      </c>
      <c r="D16" s="1" t="str">
        <f>"GBP"</f>
        <v>GBP</v>
      </c>
      <c r="E16" s="1" t="str">
        <f>"2016"</f>
        <v>2016</v>
      </c>
      <c r="F16" s="1" t="str">
        <f>"Steven R. Chesley , "</f>
        <v xml:space="preserve">Steven R. Chesley , </v>
      </c>
      <c r="G16" s="1" t="str">
        <f>"arzinbooks"</f>
        <v>arzinbooks</v>
      </c>
    </row>
    <row r="17" spans="1:7" x14ac:dyDescent="0.2">
      <c r="A17" s="1" t="str">
        <f>"Astrochemistry of Dust, Ice and Gas"</f>
        <v>Astrochemistry of Dust, Ice and Gas</v>
      </c>
      <c r="B17" s="1" t="str">
        <f>"9781782621287"</f>
        <v>9781782621287</v>
      </c>
      <c r="C17" s="1">
        <v>93.5</v>
      </c>
      <c r="D17" s="1" t="str">
        <f>"GBP"</f>
        <v>GBP</v>
      </c>
      <c r="E17" s="1" t="str">
        <f>"2014"</f>
        <v>2014</v>
      </c>
      <c r="F17" s="1" t="str">
        <f>"Royal Society Of Che"</f>
        <v>Royal Society Of Che</v>
      </c>
      <c r="G17" s="1" t="str">
        <f>"arzinbooks"</f>
        <v>arzinbooks</v>
      </c>
    </row>
    <row r="18" spans="1:7" x14ac:dyDescent="0.2">
      <c r="A18" s="1" t="str">
        <f>"Astronomie und Astrophysik"</f>
        <v>Astronomie und Astrophysik</v>
      </c>
      <c r="B18" s="1" t="str">
        <f>"9783527407934"</f>
        <v>9783527407934</v>
      </c>
      <c r="C18" s="1">
        <v>60</v>
      </c>
      <c r="D18" s="1" t="str">
        <f>"USD"</f>
        <v>USD</v>
      </c>
      <c r="E18" s="1" t="str">
        <f>"2009"</f>
        <v>2009</v>
      </c>
      <c r="F18" s="1" t="str">
        <f>"Weigert"</f>
        <v>Weigert</v>
      </c>
      <c r="G18" s="1" t="str">
        <f>"safirketab"</f>
        <v>safirketab</v>
      </c>
    </row>
    <row r="19" spans="1:7" x14ac:dyDescent="0.2">
      <c r="A19" s="1" t="str">
        <f>"ASTRONOMY"</f>
        <v>ASTRONOMY</v>
      </c>
      <c r="B19" s="1" t="str">
        <f>"9780857347961"</f>
        <v>9780857347961</v>
      </c>
      <c r="C19" s="1">
        <v>8.75</v>
      </c>
      <c r="D19" s="1" t="str">
        <f>"USD"</f>
        <v>USD</v>
      </c>
      <c r="E19" s="1" t="str">
        <f>"2011"</f>
        <v>2011</v>
      </c>
      <c r="F19" s="1" t="str">
        <f>"Agoudjian,Antoine"</f>
        <v>Agoudjian,Antoine</v>
      </c>
      <c r="G19" s="1" t="str">
        <f>"bookcity"</f>
        <v>bookcity</v>
      </c>
    </row>
    <row r="20" spans="1:7" x14ac:dyDescent="0.2">
      <c r="A20" s="1" t="s">
        <v>7</v>
      </c>
    </row>
    <row r="21" spans="1:7" x14ac:dyDescent="0.2">
      <c r="A21" s="1" t="str">
        <f>"9780393935226"</f>
        <v>9780393935226</v>
      </c>
      <c r="B21" s="1">
        <v>100.93</v>
      </c>
      <c r="C21" s="1" t="str">
        <f>"USD"</f>
        <v>USD</v>
      </c>
      <c r="D21" s="1" t="str">
        <f>"2017"</f>
        <v>2017</v>
      </c>
      <c r="E21" s="1" t="str">
        <f>"Frank          "</f>
        <v xml:space="preserve">Frank          </v>
      </c>
      <c r="F21" s="1" t="str">
        <f>"safirketab"</f>
        <v>safirketab</v>
      </c>
      <c r="G21" s="1" t="str">
        <f>"ASTRONOMY"</f>
        <v>ASTRONOMY</v>
      </c>
    </row>
    <row r="22" spans="1:7" x14ac:dyDescent="0.2">
      <c r="A22" s="1" t="s">
        <v>7</v>
      </c>
    </row>
    <row r="23" spans="1:7" x14ac:dyDescent="0.2">
      <c r="A23" s="1" t="str">
        <f>"9780393935226"</f>
        <v>9780393935226</v>
      </c>
      <c r="B23" s="1">
        <v>100.94</v>
      </c>
      <c r="C23" s="1" t="str">
        <f>"USD"</f>
        <v>USD</v>
      </c>
      <c r="D23" s="1" t="str">
        <f>"2017"</f>
        <v>2017</v>
      </c>
      <c r="E23" s="1" t="str">
        <f>"Frank          "</f>
        <v xml:space="preserve">Frank          </v>
      </c>
      <c r="F23" s="1" t="str">
        <f>"jahanadib"</f>
        <v>jahanadib</v>
      </c>
      <c r="G23" s="1" t="str">
        <f>"ASTRONOMY"</f>
        <v>ASTRONOMY</v>
      </c>
    </row>
    <row r="24" spans="1:7" x14ac:dyDescent="0.2">
      <c r="A24" s="1" t="str">
        <f>"Astronomy And Astrology In Al-Andalus And The Maghrib, HB"</f>
        <v>Astronomy And Astrology In Al-Andalus And The Maghrib, HB</v>
      </c>
      <c r="B24" s="1" t="str">
        <f>"9780754659341"</f>
        <v>9780754659341</v>
      </c>
      <c r="C24" s="1">
        <v>70</v>
      </c>
      <c r="D24" s="1" t="str">
        <f>"GBP"</f>
        <v>GBP</v>
      </c>
      <c r="E24" s="1" t="str">
        <f>"2007"</f>
        <v>2007</v>
      </c>
      <c r="F24" s="1" t="str">
        <f>"Samso"</f>
        <v>Samso</v>
      </c>
      <c r="G24" s="1" t="str">
        <f>"supply"</f>
        <v>supply</v>
      </c>
    </row>
    <row r="25" spans="1:7" x14ac:dyDescent="0.2">
      <c r="A25" s="1" t="str">
        <f>"Astronomy For Dummies,4e"</f>
        <v>Astronomy For Dummies,4e</v>
      </c>
      <c r="B25" s="1" t="str">
        <f>"9781119374244"</f>
        <v>9781119374244</v>
      </c>
      <c r="C25" s="1">
        <v>20.7</v>
      </c>
      <c r="D25" s="1" t="str">
        <f>"USD"</f>
        <v>USD</v>
      </c>
      <c r="E25" s="1" t="str">
        <f>"2017"</f>
        <v>2017</v>
      </c>
      <c r="F25" s="1" t="str">
        <f>"Maran"</f>
        <v>Maran</v>
      </c>
      <c r="G25" s="1" t="str">
        <f>"avanddanesh"</f>
        <v>avanddanesh</v>
      </c>
    </row>
    <row r="26" spans="1:7" x14ac:dyDescent="0.2">
      <c r="A26" s="1" t="str">
        <f>"Astrophysical Applications of Gravitational Lensing"</f>
        <v>Astrophysical Applications of Gravitational Lensing</v>
      </c>
      <c r="B26" s="1" t="str">
        <f>"9781107078543"</f>
        <v>9781107078543</v>
      </c>
      <c r="C26" s="1">
        <v>67.5</v>
      </c>
      <c r="D26" s="1" t="str">
        <f>"GBP"</f>
        <v>GBP</v>
      </c>
      <c r="E26" s="1" t="str">
        <f>"2016"</f>
        <v>2016</v>
      </c>
      <c r="F26" s="1" t="str">
        <f>"Evencio Mediavilla ,"</f>
        <v>Evencio Mediavilla ,</v>
      </c>
      <c r="G26" s="1" t="str">
        <f>"arzinbooks"</f>
        <v>arzinbooks</v>
      </c>
    </row>
    <row r="27" spans="1:7" x14ac:dyDescent="0.2">
      <c r="A27" s="1" t="str">
        <f>"Atmospheric Evolution on Inhabited and Lifeless Worlds"</f>
        <v>Atmospheric Evolution on Inhabited and Lifeless Worlds</v>
      </c>
      <c r="B27" s="1" t="str">
        <f>"9780521844123"</f>
        <v>9780521844123</v>
      </c>
      <c r="C27" s="1">
        <v>46.8</v>
      </c>
      <c r="D27" s="1" t="str">
        <f>"GBP"</f>
        <v>GBP</v>
      </c>
      <c r="E27" s="1" t="str">
        <f>"2017"</f>
        <v>2017</v>
      </c>
      <c r="F27" s="1" t="str">
        <f>"Catling"</f>
        <v>Catling</v>
      </c>
      <c r="G27" s="1" t="str">
        <f>"arzinbooks"</f>
        <v>arzinbooks</v>
      </c>
    </row>
    <row r="28" spans="1:7" x14ac:dyDescent="0.2">
      <c r="A28" s="1" t="str">
        <f>"Auroral Dynamics and Space Weather"</f>
        <v>Auroral Dynamics and Space Weather</v>
      </c>
      <c r="B28" s="1" t="str">
        <f>"9781118978702"</f>
        <v>9781118978702</v>
      </c>
      <c r="C28" s="1">
        <v>144.5</v>
      </c>
      <c r="D28" s="1" t="str">
        <f>"USD"</f>
        <v>USD</v>
      </c>
      <c r="E28" s="1" t="str">
        <f>"2016"</f>
        <v>2016</v>
      </c>
      <c r="F28" s="1" t="str">
        <f>"Zhang"</f>
        <v>Zhang</v>
      </c>
      <c r="G28" s="1" t="str">
        <f>"avanddanesh"</f>
        <v>avanddanesh</v>
      </c>
    </row>
    <row r="29" spans="1:7" x14ac:dyDescent="0.2">
      <c r="A29" s="1" t="str">
        <f>"Bayesian Models for Astrophysical Data : Using R, JAGS, Python, and Stan"</f>
        <v>Bayesian Models for Astrophysical Data : Using R, JAGS, Python, and Stan</v>
      </c>
      <c r="B29" s="1" t="str">
        <f>"9781107133082"</f>
        <v>9781107133082</v>
      </c>
      <c r="C29" s="1">
        <v>51</v>
      </c>
      <c r="D29" s="1" t="str">
        <f>"GBP"</f>
        <v>GBP</v>
      </c>
      <c r="E29" s="1" t="str">
        <f>"2017"</f>
        <v>2017</v>
      </c>
      <c r="F29" s="1" t="str">
        <f>"Hilbe"</f>
        <v>Hilbe</v>
      </c>
      <c r="G29" s="1" t="str">
        <f>"arzinbooks"</f>
        <v>arzinbooks</v>
      </c>
    </row>
    <row r="30" spans="1:7" x14ac:dyDescent="0.2">
      <c r="A30" s="1" t="str">
        <f>"Calendrical Calculations : The Ultimate Edition"</f>
        <v>Calendrical Calculations : The Ultimate Edition</v>
      </c>
      <c r="B30" s="1" t="str">
        <f>"9781107683167"</f>
        <v>9781107683167</v>
      </c>
      <c r="C30" s="1">
        <v>28.1</v>
      </c>
      <c r="D30" s="1" t="str">
        <f>"GBP"</f>
        <v>GBP</v>
      </c>
      <c r="E30" s="1" t="str">
        <f>"2018"</f>
        <v>2018</v>
      </c>
      <c r="F30" s="1" t="str">
        <f>"Reingold"</f>
        <v>Reingold</v>
      </c>
      <c r="G30" s="1" t="str">
        <f>"arzinbooks"</f>
        <v>arzinbooks</v>
      </c>
    </row>
    <row r="31" spans="1:7" x14ac:dyDescent="0.2">
      <c r="A31" s="1" t="str">
        <f>"Case for Pluto: How a Little Planet Made a Big Difference"</f>
        <v>Case for Pluto: How a Little Planet Made a Big Difference</v>
      </c>
      <c r="B31" s="1" t="str">
        <f>"9780470505441"</f>
        <v>9780470505441</v>
      </c>
      <c r="C31" s="1">
        <v>9.1999999999999993</v>
      </c>
      <c r="D31" s="1" t="str">
        <f t="shared" ref="D31:D36" si="1">"USD"</f>
        <v>USD</v>
      </c>
      <c r="E31" s="1" t="str">
        <f>"2010"</f>
        <v>2010</v>
      </c>
      <c r="F31" s="1" t="str">
        <f>"Boyle"</f>
        <v>Boyle</v>
      </c>
      <c r="G31" s="1" t="str">
        <f>"avanddanesh"</f>
        <v>avanddanesh</v>
      </c>
    </row>
    <row r="32" spans="1:7" x14ac:dyDescent="0.2">
      <c r="A32" s="1" t="str">
        <f>"Celestial Dynamics"</f>
        <v>Celestial Dynamics</v>
      </c>
      <c r="B32" s="1" t="str">
        <f>"9783527409778"</f>
        <v>9783527409778</v>
      </c>
      <c r="C32" s="1">
        <v>97.5</v>
      </c>
      <c r="D32" s="1" t="str">
        <f t="shared" si="1"/>
        <v>USD</v>
      </c>
      <c r="E32" s="1" t="str">
        <f>"2013"</f>
        <v>2013</v>
      </c>
      <c r="F32" s="1" t="str">
        <f>"Dvorak"</f>
        <v>Dvorak</v>
      </c>
      <c r="G32" s="1" t="str">
        <f>"avanddanesh"</f>
        <v>avanddanesh</v>
      </c>
    </row>
    <row r="33" spans="1:7" x14ac:dyDescent="0.2">
      <c r="A33" s="1" t="str">
        <f>"Comets And Their Origin: The Tools To Decipher A Comet"</f>
        <v>Comets And Their Origin: The Tools To Decipher A Comet</v>
      </c>
      <c r="B33" s="1" t="str">
        <f>"9783527412815"</f>
        <v>9783527412815</v>
      </c>
      <c r="C33" s="1">
        <v>135.80000000000001</v>
      </c>
      <c r="D33" s="1" t="str">
        <f t="shared" si="1"/>
        <v>USD</v>
      </c>
      <c r="E33" s="1" t="str">
        <f>"2014"</f>
        <v>2014</v>
      </c>
      <c r="F33" s="1" t="str">
        <f>"Meierhenrich"</f>
        <v>Meierhenrich</v>
      </c>
      <c r="G33" s="1" t="str">
        <f>"avanddanesh"</f>
        <v>avanddanesh</v>
      </c>
    </row>
    <row r="34" spans="1:7" x14ac:dyDescent="0.2">
      <c r="A34" s="1" t="str">
        <f>"Complete Course in Astrobiology"</f>
        <v>Complete Course in Astrobiology</v>
      </c>
      <c r="B34" s="1" t="str">
        <f>"9783527406609"</f>
        <v>9783527406609</v>
      </c>
      <c r="C34" s="1">
        <v>60</v>
      </c>
      <c r="D34" s="1" t="str">
        <f t="shared" si="1"/>
        <v>USD</v>
      </c>
      <c r="E34" s="1" t="str">
        <f>"2007"</f>
        <v>2007</v>
      </c>
      <c r="F34" s="1" t="str">
        <f>"Horneck-Physics &amp; As"</f>
        <v>Horneck-Physics &amp; As</v>
      </c>
      <c r="G34" s="1" t="str">
        <f>"safirketab"</f>
        <v>safirketab</v>
      </c>
    </row>
    <row r="35" spans="1:7" x14ac:dyDescent="0.2">
      <c r="A35" s="1" t="str">
        <f>"Contemporary Planetary Robotics: An Approach Toward Autonomous Systems"</f>
        <v>Contemporary Planetary Robotics: An Approach Toward Autonomous Systems</v>
      </c>
      <c r="B35" s="1" t="str">
        <f>"9783527413256"</f>
        <v>9783527413256</v>
      </c>
      <c r="C35" s="1">
        <v>174.3</v>
      </c>
      <c r="D35" s="1" t="str">
        <f t="shared" si="1"/>
        <v>USD</v>
      </c>
      <c r="E35" s="1" t="str">
        <f>"2016"</f>
        <v>2016</v>
      </c>
      <c r="F35" s="1" t="str">
        <f>"Gao"</f>
        <v>Gao</v>
      </c>
      <c r="G35" s="1" t="str">
        <f>"avanddanesh"</f>
        <v>avanddanesh</v>
      </c>
    </row>
    <row r="36" spans="1:7" x14ac:dyDescent="0.2">
      <c r="A36" s="1" t="str">
        <f>"Coronal Seismology"</f>
        <v>Coronal Seismology</v>
      </c>
      <c r="B36" s="1" t="str">
        <f>"9783527409945"</f>
        <v>9783527409945</v>
      </c>
      <c r="C36" s="1">
        <v>102</v>
      </c>
      <c r="D36" s="1" t="str">
        <f t="shared" si="1"/>
        <v>USD</v>
      </c>
      <c r="E36" s="1" t="str">
        <f>"2012"</f>
        <v>2012</v>
      </c>
      <c r="F36" s="1" t="str">
        <f>"Stepanov"</f>
        <v>Stepanov</v>
      </c>
      <c r="G36" s="1" t="str">
        <f>"avanddanesh"</f>
        <v>avanddanesh</v>
      </c>
    </row>
    <row r="37" spans="1:7" x14ac:dyDescent="0.2">
      <c r="A37" s="1" t="str">
        <f>"COSMIC PARADOXES"</f>
        <v>COSMIC PARADOXES</v>
      </c>
      <c r="B37" s="1" t="str">
        <f>"9789814355117"</f>
        <v>9789814355117</v>
      </c>
      <c r="C37" s="1">
        <v>16.8</v>
      </c>
      <c r="D37" s="1" t="str">
        <f>"GBP"</f>
        <v>GBP</v>
      </c>
      <c r="E37" s="1" t="str">
        <f>"2012"</f>
        <v>2012</v>
      </c>
      <c r="F37" s="1" t="str">
        <f>"GONZALO JULIO A"</f>
        <v>GONZALO JULIO A</v>
      </c>
      <c r="G37" s="1" t="str">
        <f>"AsarBartar"</f>
        <v>AsarBartar</v>
      </c>
    </row>
    <row r="38" spans="1:7" x14ac:dyDescent="0.2">
      <c r="A38" s="1" t="str">
        <f>"COSMIC PARADOXES (SECOND EDITION)"</f>
        <v>COSMIC PARADOXES (SECOND EDITION)</v>
      </c>
      <c r="B38" s="1" t="str">
        <f>"9789813141568"</f>
        <v>9789813141568</v>
      </c>
      <c r="C38" s="1">
        <v>36</v>
      </c>
      <c r="D38" s="1" t="str">
        <f>"GBP"</f>
        <v>GBP</v>
      </c>
      <c r="E38" s="1" t="str">
        <f>"2017"</f>
        <v>2017</v>
      </c>
      <c r="F38" s="1" t="str">
        <f>"GONZALO JULIO A"</f>
        <v>GONZALO JULIO A</v>
      </c>
      <c r="G38" s="1" t="str">
        <f>"AsarBartar"</f>
        <v>AsarBartar</v>
      </c>
    </row>
    <row r="39" spans="1:7" x14ac:dyDescent="0.2">
      <c r="A39" s="1" t="str">
        <f>"Cosmic Rays and Particle Physics"</f>
        <v>Cosmic Rays and Particle Physics</v>
      </c>
      <c r="B39" s="1" t="str">
        <f>"9780521016469"</f>
        <v>9780521016469</v>
      </c>
      <c r="C39" s="1">
        <v>40.5</v>
      </c>
      <c r="D39" s="1" t="str">
        <f>"GBP"</f>
        <v>GBP</v>
      </c>
      <c r="E39" s="1" t="str">
        <f>"2016"</f>
        <v>2016</v>
      </c>
      <c r="F39" s="1" t="str">
        <f>"THOMAS K. GAISSER , "</f>
        <v xml:space="preserve">THOMAS K. GAISSER , </v>
      </c>
      <c r="G39" s="1" t="str">
        <f>"arzinbooks"</f>
        <v>arzinbooks</v>
      </c>
    </row>
    <row r="40" spans="1:7" x14ac:dyDescent="0.2">
      <c r="A40" s="1" t="str">
        <f>"COSMOLOGY, GRAVITATIONAL WAVES AND PARTICLES - PROCEEDINGS OF THE CONFERENCE"</f>
        <v>COSMOLOGY, GRAVITATIONAL WAVES AND PARTICLES - PROCEEDINGS OF THE CONFERENCE</v>
      </c>
      <c r="B40" s="1" t="str">
        <f>"9789813231795"</f>
        <v>9789813231795</v>
      </c>
      <c r="C40" s="1">
        <v>101.7</v>
      </c>
      <c r="D40" s="1" t="str">
        <f>"GBP"</f>
        <v>GBP</v>
      </c>
      <c r="E40" s="1" t="str">
        <f>"2018"</f>
        <v>2018</v>
      </c>
      <c r="F40" s="1" t="str">
        <f>"FRITZSCH HARALD"</f>
        <v>FRITZSCH HARALD</v>
      </c>
      <c r="G40" s="1" t="str">
        <f>"AsarBartar"</f>
        <v>AsarBartar</v>
      </c>
    </row>
    <row r="41" spans="1:7" x14ac:dyDescent="0.2">
      <c r="A41" s="1" t="str">
        <f>"Dark Energy"</f>
        <v>Dark Energy</v>
      </c>
      <c r="B41" s="1" t="str">
        <f>"9783527409419"</f>
        <v>9783527409419</v>
      </c>
      <c r="C41" s="1">
        <v>49.6</v>
      </c>
      <c r="D41" s="1" t="str">
        <f>"USD"</f>
        <v>USD</v>
      </c>
      <c r="E41" s="1" t="str">
        <f>"2010"</f>
        <v>2010</v>
      </c>
      <c r="F41" s="1" t="str">
        <f>"Wang"</f>
        <v>Wang</v>
      </c>
      <c r="G41" s="1" t="str">
        <f>"safirketab"</f>
        <v>safirketab</v>
      </c>
    </row>
    <row r="42" spans="1:7" x14ac:dyDescent="0.2">
      <c r="A42" s="1" t="str">
        <f>"Dark Energy"</f>
        <v>Dark Energy</v>
      </c>
      <c r="B42" s="1" t="str">
        <f>"9783527409419"</f>
        <v>9783527409419</v>
      </c>
      <c r="C42" s="1">
        <v>49.6</v>
      </c>
      <c r="D42" s="1" t="str">
        <f>"USD"</f>
        <v>USD</v>
      </c>
      <c r="E42" s="1" t="str">
        <f>"2010"</f>
        <v>2010</v>
      </c>
      <c r="F42" s="1" t="str">
        <f>"Wang"</f>
        <v>Wang</v>
      </c>
      <c r="G42" s="1" t="str">
        <f>"avanddanesh"</f>
        <v>avanddanesh</v>
      </c>
    </row>
    <row r="43" spans="1:7" x14ac:dyDescent="0.2">
      <c r="A43" s="1" t="str">
        <f>"DAYSTAR: A PEEP INTO THE WORKINGS OF THE SUN"</f>
        <v>DAYSTAR: A PEEP INTO THE WORKINGS OF THE SUN</v>
      </c>
      <c r="B43" s="1" t="str">
        <f>"9789813228528"</f>
        <v>9789813228528</v>
      </c>
      <c r="C43" s="1">
        <v>45.9</v>
      </c>
      <c r="D43" s="1" t="str">
        <f>"GBP"</f>
        <v>GBP</v>
      </c>
      <c r="E43" s="1" t="str">
        <f>"2018"</f>
        <v>2018</v>
      </c>
      <c r="F43" s="1" t="str">
        <f>"VENKATAKRISHNAN PAR"</f>
        <v>VENKATAKRISHNAN PAR</v>
      </c>
      <c r="G43" s="1" t="str">
        <f>"AsarBartar"</f>
        <v>AsarBartar</v>
      </c>
    </row>
    <row r="44" spans="1:7" x14ac:dyDescent="0.2">
      <c r="A44" s="1" t="str">
        <f>"Deconstructing CosmologyÂ "</f>
        <v>Deconstructing CosmologyÂ </v>
      </c>
      <c r="B44" s="1" t="str">
        <f>"9781107155268"</f>
        <v>9781107155268</v>
      </c>
      <c r="C44" s="1">
        <v>18.8</v>
      </c>
      <c r="D44" s="1" t="str">
        <f>"GBP"</f>
        <v>GBP</v>
      </c>
      <c r="E44" s="1" t="str">
        <f>"2016"</f>
        <v>2016</v>
      </c>
      <c r="F44" s="1" t="str">
        <f>"Robert H. Sanders"</f>
        <v>Robert H. Sanders</v>
      </c>
      <c r="G44" s="1" t="str">
        <f>"arzinbooks"</f>
        <v>arzinbooks</v>
      </c>
    </row>
    <row r="45" spans="1:7" x14ac:dyDescent="0.2">
      <c r="A45" s="1" t="str">
        <f>"Dense Molecular Gas around Protostars and in Galactic Nuclei"</f>
        <v>Dense Molecular Gas around Protostars and in Galactic Nuclei</v>
      </c>
      <c r="B45" s="1" t="str">
        <f>"9781402030383"</f>
        <v>9781402030383</v>
      </c>
      <c r="C45" s="1">
        <v>91.99</v>
      </c>
      <c r="D45" s="1" t="str">
        <f>"USD"</f>
        <v>USD</v>
      </c>
      <c r="E45" s="1" t="str">
        <f>"2005"</f>
        <v>2005</v>
      </c>
      <c r="F45" s="1" t="str">
        <f>"Hagiwara,Y.(Eds)"</f>
        <v>Hagiwara,Y.(Eds)</v>
      </c>
      <c r="G45" s="1" t="str">
        <f>"safirketab"</f>
        <v>safirketab</v>
      </c>
    </row>
    <row r="46" spans="1:7" x14ac:dyDescent="0.2">
      <c r="A46" s="1" t="str">
        <f>"Diffuse Matter from Star Forming Regions to Active Galaxies"</f>
        <v>Diffuse Matter from Star Forming Regions to Active Galaxies</v>
      </c>
      <c r="B46" s="1" t="str">
        <f>"9781402054242"</f>
        <v>9781402054242</v>
      </c>
      <c r="C46" s="1">
        <v>96</v>
      </c>
      <c r="D46" s="1" t="str">
        <f>"USD"</f>
        <v>USD</v>
      </c>
      <c r="E46" s="1" t="str">
        <f>"2006"</f>
        <v>2006</v>
      </c>
      <c r="F46" s="1" t="str">
        <f>"Hartquist,T.W.(Eds)"</f>
        <v>Hartquist,T.W.(Eds)</v>
      </c>
      <c r="G46" s="1" t="str">
        <f>"safirketab"</f>
        <v>safirketab</v>
      </c>
    </row>
    <row r="47" spans="1:7" x14ac:dyDescent="0.2">
      <c r="A47" s="1" t="str">
        <f>"DISCOVERING THE UNIVERSE"</f>
        <v>DISCOVERING THE UNIVERSE</v>
      </c>
      <c r="B47" s="1" t="str">
        <f>"9780233004426"</f>
        <v>9780233004426</v>
      </c>
      <c r="C47" s="1">
        <v>16.25</v>
      </c>
      <c r="D47" s="1" t="str">
        <f>"USD"</f>
        <v>USD</v>
      </c>
      <c r="E47" s="1" t="str">
        <f>"2015"</f>
        <v>2015</v>
      </c>
      <c r="F47" s="1" t="str">
        <f>"murdin,paul"</f>
        <v>murdin,paul</v>
      </c>
      <c r="G47" s="1" t="str">
        <f>"bookcity"</f>
        <v>bookcity</v>
      </c>
    </row>
    <row r="48" spans="1:7" x14ac:dyDescent="0.2">
      <c r="A48" s="1" t="str">
        <f>"Drilling in Extreme Environments: Penetration and Sampling on Earth and other Planets"</f>
        <v>Drilling in Extreme Environments: Penetration and Sampling on Earth and other Planets</v>
      </c>
      <c r="B48" s="1" t="str">
        <f>"9783527408528"</f>
        <v>9783527408528</v>
      </c>
      <c r="C48" s="1">
        <v>98</v>
      </c>
      <c r="D48" s="1" t="str">
        <f>"USD"</f>
        <v>USD</v>
      </c>
      <c r="E48" s="1" t="str">
        <f>"2009"</f>
        <v>2009</v>
      </c>
      <c r="F48" s="1" t="str">
        <f>"Bar-Cohen"</f>
        <v>Bar-Cohen</v>
      </c>
      <c r="G48" s="1" t="str">
        <f>"avanddanesh"</f>
        <v>avanddanesh</v>
      </c>
    </row>
    <row r="49" spans="1:7" x14ac:dyDescent="0.2">
      <c r="A49" s="1" t="str">
        <f>"Drilling in Extreme Environments:Penetration and Sampling on Earth and other Planets"</f>
        <v>Drilling in Extreme Environments:Penetration and Sampling on Earth and other Planets</v>
      </c>
      <c r="B49" s="1" t="str">
        <f>"9783527408528"</f>
        <v>9783527408528</v>
      </c>
      <c r="C49" s="1">
        <v>98</v>
      </c>
      <c r="D49" s="1" t="str">
        <f>"USD"</f>
        <v>USD</v>
      </c>
      <c r="E49" s="1" t="str">
        <f>"2009"</f>
        <v>2009</v>
      </c>
      <c r="F49" s="1" t="str">
        <f>"Bar-Cohen"</f>
        <v>Bar-Cohen</v>
      </c>
      <c r="G49" s="1" t="str">
        <f>"safirketab"</f>
        <v>safirketab</v>
      </c>
    </row>
    <row r="50" spans="1:7" x14ac:dyDescent="0.2">
      <c r="A50" s="1" t="str">
        <f>"Dynamical Astrochemistry"</f>
        <v>Dynamical Astrochemistry</v>
      </c>
      <c r="B50" s="1" t="str">
        <f>"9781782627760"</f>
        <v>9781782627760</v>
      </c>
      <c r="C50" s="1">
        <v>135.19999999999999</v>
      </c>
      <c r="D50" s="1" t="str">
        <f>"GBP"</f>
        <v>GBP</v>
      </c>
      <c r="E50" s="1" t="str">
        <f>"2018"</f>
        <v>2018</v>
      </c>
      <c r="F50" s="1" t="str">
        <f>"David A Williams,Tho"</f>
        <v>David A Williams,Tho</v>
      </c>
      <c r="G50" s="1" t="str">
        <f>"arzinbooks"</f>
        <v>arzinbooks</v>
      </c>
    </row>
    <row r="51" spans="1:7" x14ac:dyDescent="0.2">
      <c r="A51" s="1" t="str">
        <f>"Earth from Space"</f>
        <v>Earth from Space</v>
      </c>
      <c r="B51" s="1" t="str">
        <f>"9781552978207"</f>
        <v>9781552978207</v>
      </c>
      <c r="C51" s="1">
        <v>11.25</v>
      </c>
      <c r="D51" s="1" t="str">
        <f t="shared" ref="D51:D58" si="2">"USD"</f>
        <v>USD</v>
      </c>
      <c r="E51" s="1" t="str">
        <f>"2004"</f>
        <v>2004</v>
      </c>
      <c r="F51" s="1" t="str">
        <f>"Andrew K. Johnston"</f>
        <v>Andrew K. Johnston</v>
      </c>
      <c r="G51" s="1" t="str">
        <f>"bookcity"</f>
        <v>bookcity</v>
      </c>
    </row>
    <row r="52" spans="1:7" x14ac:dyDescent="0.2">
      <c r="A52" s="1" t="str">
        <f>"Electron and Proton Kinetics and Dynamics in Flaring Atmospheres"</f>
        <v>Electron and Proton Kinetics and Dynamics in Flaring Atmospheres</v>
      </c>
      <c r="B52" s="1" t="str">
        <f>"9783527408474"</f>
        <v>9783527408474</v>
      </c>
      <c r="C52" s="1">
        <v>124.2</v>
      </c>
      <c r="D52" s="1" t="str">
        <f t="shared" si="2"/>
        <v>USD</v>
      </c>
      <c r="E52" s="1" t="str">
        <f>"2012"</f>
        <v>2012</v>
      </c>
      <c r="F52" s="1" t="str">
        <f>"Zharkova"</f>
        <v>Zharkova</v>
      </c>
      <c r="G52" s="1" t="str">
        <f>"avanddanesh"</f>
        <v>avanddanesh</v>
      </c>
    </row>
    <row r="53" spans="1:7" x14ac:dyDescent="0.2">
      <c r="A53" s="1" t="str">
        <f>"Elementary Particle Physics"</f>
        <v>Elementary Particle Physics</v>
      </c>
      <c r="B53" s="1" t="str">
        <f>"9783527409662"</f>
        <v>9783527409662</v>
      </c>
      <c r="C53" s="1">
        <v>155.30000000000001</v>
      </c>
      <c r="D53" s="1" t="str">
        <f t="shared" si="2"/>
        <v>USD</v>
      </c>
      <c r="E53" s="1" t="str">
        <f>"2013"</f>
        <v>2013</v>
      </c>
      <c r="F53" s="1" t="str">
        <f>"Nagashima"</f>
        <v>Nagashima</v>
      </c>
      <c r="G53" s="1" t="str">
        <f>"avanddanesh"</f>
        <v>avanddanesh</v>
      </c>
    </row>
    <row r="54" spans="1:7" x14ac:dyDescent="0.2">
      <c r="A54" s="1" t="str">
        <f>"Ellipse: A Historical and Mathematical Journey"</f>
        <v>Ellipse: A Historical and Mathematical Journey</v>
      </c>
      <c r="B54" s="1" t="str">
        <f>"9780470587188"</f>
        <v>9780470587188</v>
      </c>
      <c r="C54" s="1">
        <v>28</v>
      </c>
      <c r="D54" s="1" t="str">
        <f t="shared" si="2"/>
        <v>USD</v>
      </c>
      <c r="E54" s="1" t="str">
        <f>"2010"</f>
        <v>2010</v>
      </c>
      <c r="F54" s="1" t="str">
        <f>"Mazer"</f>
        <v>Mazer</v>
      </c>
      <c r="G54" s="1" t="str">
        <f>"avanddanesh"</f>
        <v>avanddanesh</v>
      </c>
    </row>
    <row r="55" spans="1:7" x14ac:dyDescent="0.2">
      <c r="A55" s="1" t="str">
        <f>"Extrasolar Planets: Formation, Detection and Dynamics"</f>
        <v>Extrasolar Planets: Formation, Detection and Dynamics</v>
      </c>
      <c r="B55" s="1" t="str">
        <f>"9783527406715"</f>
        <v>9783527406715</v>
      </c>
      <c r="C55" s="1">
        <v>90</v>
      </c>
      <c r="D55" s="1" t="str">
        <f t="shared" si="2"/>
        <v>USD</v>
      </c>
      <c r="E55" s="1" t="str">
        <f>"2008"</f>
        <v>2008</v>
      </c>
      <c r="F55" s="1" t="str">
        <f>"Dvorak"</f>
        <v>Dvorak</v>
      </c>
      <c r="G55" s="1" t="str">
        <f>"safirketab"</f>
        <v>safirketab</v>
      </c>
    </row>
    <row r="56" spans="1:7" x14ac:dyDescent="0.2">
      <c r="A56" s="1" t="str">
        <f>"Focusing Telescopes in Nuclear Astrophysics"</f>
        <v>Focusing Telescopes in Nuclear Astrophysics</v>
      </c>
      <c r="B56" s="1" t="str">
        <f>"9781402053030"</f>
        <v>9781402053030</v>
      </c>
      <c r="C56" s="1">
        <v>112</v>
      </c>
      <c r="D56" s="1" t="str">
        <f t="shared" si="2"/>
        <v>USD</v>
      </c>
      <c r="E56" s="1" t="str">
        <f>"2006"</f>
        <v>2006</v>
      </c>
      <c r="F56" s="1" t="str">
        <f>"Ballmoos,P.v.(Ed)"</f>
        <v>Ballmoos,P.v.(Ed)</v>
      </c>
      <c r="G56" s="1" t="str">
        <f>"safirketab"</f>
        <v>safirketab</v>
      </c>
    </row>
    <row r="57" spans="1:7" x14ac:dyDescent="0.2">
      <c r="A57" s="1" t="str">
        <f>"Formation and Evolution of Exoplanets"</f>
        <v>Formation and Evolution of Exoplanets</v>
      </c>
      <c r="B57" s="1" t="str">
        <f>"9783527408962"</f>
        <v>9783527408962</v>
      </c>
      <c r="C57" s="1">
        <v>112.5</v>
      </c>
      <c r="D57" s="1" t="str">
        <f t="shared" si="2"/>
        <v>USD</v>
      </c>
      <c r="E57" s="1" t="str">
        <f>"2010"</f>
        <v>2010</v>
      </c>
      <c r="F57" s="1" t="str">
        <f>"Barnes"</f>
        <v>Barnes</v>
      </c>
      <c r="G57" s="1" t="str">
        <f>"safirketab"</f>
        <v>safirketab</v>
      </c>
    </row>
    <row r="58" spans="1:7" x14ac:dyDescent="0.2">
      <c r="A58" s="1" t="str">
        <f>"From First Light to Reionization - The End of the Dark Ages"</f>
        <v>From First Light to Reionization - The End of the Dark Ages</v>
      </c>
      <c r="B58" s="1" t="str">
        <f>"9783527407057"</f>
        <v>9783527407057</v>
      </c>
      <c r="C58" s="1">
        <v>127.5</v>
      </c>
      <c r="D58" s="1" t="str">
        <f t="shared" si="2"/>
        <v>USD</v>
      </c>
      <c r="E58" s="1" t="str">
        <f>"2009"</f>
        <v>2009</v>
      </c>
      <c r="F58" s="1" t="str">
        <f>"Stiavelli"</f>
        <v>Stiavelli</v>
      </c>
      <c r="G58" s="1" t="str">
        <f>"safirketab"</f>
        <v>safirketab</v>
      </c>
    </row>
    <row r="59" spans="1:7" x14ac:dyDescent="0.2">
      <c r="A59" s="1" t="str">
        <f>"From Interstellar Clouds to Star-forming Galaxies (IAU S315): Universal Processes?"</f>
        <v>From Interstellar Clouds to Star-forming Galaxies (IAU S315): Universal Processes?</v>
      </c>
      <c r="B59" s="1" t="str">
        <f>"9781107135208"</f>
        <v>9781107135208</v>
      </c>
      <c r="C59" s="1">
        <v>60</v>
      </c>
      <c r="D59" s="1" t="str">
        <f>"GBP"</f>
        <v>GBP</v>
      </c>
      <c r="E59" s="1" t="str">
        <f>"2016"</f>
        <v>2016</v>
      </c>
      <c r="F59" s="1" t="str">
        <f>"Pascale Jablonka , P"</f>
        <v>Pascale Jablonka , P</v>
      </c>
      <c r="G59" s="1" t="str">
        <f>"arzinbooks"</f>
        <v>arzinbooks</v>
      </c>
    </row>
    <row r="60" spans="1:7" x14ac:dyDescent="0.2">
      <c r="A60" s="1" t="str">
        <f>"Galaxies at High Redshift and their Evolution over Cosmic Time (IAU S319)"</f>
        <v>Galaxies at High Redshift and their Evolution over Cosmic Time (IAU S319)</v>
      </c>
      <c r="B60" s="1" t="str">
        <f>"9781107138261"</f>
        <v>9781107138261</v>
      </c>
      <c r="C60" s="1">
        <v>60</v>
      </c>
      <c r="D60" s="1" t="str">
        <f>"GBP"</f>
        <v>GBP</v>
      </c>
      <c r="E60" s="1" t="str">
        <f>"2016"</f>
        <v>2016</v>
      </c>
      <c r="F60" s="1" t="str">
        <f>"Sugata Kaviraj"</f>
        <v>Sugata Kaviraj</v>
      </c>
      <c r="G60" s="1" t="str">
        <f>"arzinbooks"</f>
        <v>arzinbooks</v>
      </c>
    </row>
    <row r="61" spans="1:7" x14ac:dyDescent="0.2">
      <c r="A61" s="1" t="str">
        <f>"Gravitational Lensing"</f>
        <v>Gravitational Lensing</v>
      </c>
      <c r="B61" s="1" t="str">
        <f>"9781107129764"</f>
        <v>9781107129764</v>
      </c>
      <c r="C61" s="1">
        <v>34</v>
      </c>
      <c r="D61" s="1" t="str">
        <f>"GBP"</f>
        <v>GBP</v>
      </c>
      <c r="E61" s="1" t="str">
        <f>"2017"</f>
        <v>2017</v>
      </c>
      <c r="F61" s="1" t="str">
        <f>"Dodelson"</f>
        <v>Dodelson</v>
      </c>
      <c r="G61" s="1" t="str">
        <f>"arzinbooks"</f>
        <v>arzinbooks</v>
      </c>
    </row>
    <row r="62" spans="1:7" x14ac:dyDescent="0.2">
      <c r="A62" s="1" t="str">
        <f>"GUIDE TO STARS &amp; PLANETS"</f>
        <v>GUIDE TO STARS &amp; PLANETS</v>
      </c>
      <c r="B62" s="1" t="str">
        <f>"9781554070534"</f>
        <v>9781554070534</v>
      </c>
      <c r="C62" s="1">
        <v>12.75</v>
      </c>
      <c r="D62" s="1" t="str">
        <f>"USD"</f>
        <v>USD</v>
      </c>
      <c r="E62" s="1" t="str">
        <f>"2005"</f>
        <v>2005</v>
      </c>
      <c r="F62" s="1" t="str">
        <f>"moore,sir patrick"</f>
        <v>moore,sir patrick</v>
      </c>
      <c r="G62" s="1" t="str">
        <f>"bookcity"</f>
        <v>bookcity</v>
      </c>
    </row>
    <row r="63" spans="1:7" x14ac:dyDescent="0.2">
      <c r="A63" s="1" t="str">
        <f>"Heaven &amp;amp; Earth: Unseen by the naked eye (Photography)"</f>
        <v>Heaven &amp;amp; Earth: Unseen by the naked eye (Photography)</v>
      </c>
      <c r="B63" s="1" t="str">
        <f>"9780714844398"</f>
        <v>9780714844398</v>
      </c>
      <c r="C63" s="1">
        <v>11.25</v>
      </c>
      <c r="D63" s="1" t="str">
        <f>"USD"</f>
        <v>USD</v>
      </c>
      <c r="E63" s="1" t="str">
        <f>"2004"</f>
        <v>2004</v>
      </c>
      <c r="F63" s="1" t="str">
        <f>"David Malin"</f>
        <v>David Malin</v>
      </c>
      <c r="G63" s="1" t="str">
        <f>"bookcity"</f>
        <v>bookcity</v>
      </c>
    </row>
    <row r="64" spans="1:7" x14ac:dyDescent="0.2">
      <c r="A64" s="1" t="str">
        <f>"High Energy Density Laboratory Astrophysics"</f>
        <v>High Energy Density Laboratory Astrophysics</v>
      </c>
      <c r="B64" s="1" t="str">
        <f>"9781402034831"</f>
        <v>9781402034831</v>
      </c>
      <c r="C64" s="1">
        <v>111.42</v>
      </c>
      <c r="D64" s="1" t="str">
        <f>"USD"</f>
        <v>USD</v>
      </c>
      <c r="E64" s="1" t="str">
        <f>"2005"</f>
        <v>2005</v>
      </c>
      <c r="F64" s="1" t="str">
        <f>"Kyrala,G.(Ed)"</f>
        <v>Kyrala,G.(Ed)</v>
      </c>
      <c r="G64" s="1" t="str">
        <f>"safirketab"</f>
        <v>safirketab</v>
      </c>
    </row>
    <row r="65" spans="1:7" x14ac:dyDescent="0.2">
      <c r="A65" s="1" t="str">
        <f>"Highlights of Astronomy: Volume 16"</f>
        <v>Highlights of Astronomy: Volume 16</v>
      </c>
      <c r="B65" s="1" t="str">
        <f>"9781107078840"</f>
        <v>9781107078840</v>
      </c>
      <c r="C65" s="1">
        <v>58.5</v>
      </c>
      <c r="D65" s="1" t="str">
        <f>"GBP"</f>
        <v>GBP</v>
      </c>
      <c r="E65" s="1" t="str">
        <f>"2015"</f>
        <v>2015</v>
      </c>
      <c r="F65" s="1" t="str">
        <f>"Thierry Montmerle"</f>
        <v>Thierry Montmerle</v>
      </c>
      <c r="G65" s="1" t="str">
        <f>"arzinbooks"</f>
        <v>arzinbooks</v>
      </c>
    </row>
    <row r="66" spans="1:7" x14ac:dyDescent="0.2">
      <c r="A66" s="1" t="str">
        <f>"Hubble's Universe"</f>
        <v>Hubble's Universe</v>
      </c>
      <c r="B66" s="1" t="str">
        <f>"9781770859975"</f>
        <v>9781770859975</v>
      </c>
      <c r="C66" s="1">
        <v>21.25</v>
      </c>
      <c r="D66" s="1" t="str">
        <f>"GBP"</f>
        <v>GBP</v>
      </c>
      <c r="E66" s="1" t="str">
        <f>"2017"</f>
        <v>2017</v>
      </c>
      <c r="F66" s="1" t="str">
        <f>"chris lioyd"</f>
        <v>chris lioyd</v>
      </c>
      <c r="G66" s="1" t="str">
        <f>"safirketab"</f>
        <v>safirketab</v>
      </c>
    </row>
    <row r="67" spans="1:7" x14ac:dyDescent="0.2">
      <c r="A67" s="1" t="str">
        <f>"Hubble's Universe"</f>
        <v>Hubble's Universe</v>
      </c>
      <c r="B67" s="1" t="str">
        <f>"9781770859975"</f>
        <v>9781770859975</v>
      </c>
      <c r="C67" s="1">
        <v>21.25</v>
      </c>
      <c r="D67" s="1" t="str">
        <f>"GBP"</f>
        <v>GBP</v>
      </c>
      <c r="E67" s="1" t="str">
        <f>"2017"</f>
        <v>2017</v>
      </c>
      <c r="F67" s="1" t="str">
        <f>"chris lioyd"</f>
        <v>chris lioyd</v>
      </c>
      <c r="G67" s="1" t="str">
        <f>"jahanadib"</f>
        <v>jahanadib</v>
      </c>
    </row>
    <row r="68" spans="1:7" x14ac:dyDescent="0.2">
      <c r="A68" s="1" t="str">
        <f>"Hubble's Universe: Greatest Discoveries and Latest Images"</f>
        <v>Hubble's Universe: Greatest Discoveries and Latest Images</v>
      </c>
      <c r="B68" s="1" t="str">
        <f>"9781770851078"</f>
        <v>9781770851078</v>
      </c>
      <c r="C68" s="1">
        <v>21.25</v>
      </c>
      <c r="D68" s="1" t="str">
        <f>"USD"</f>
        <v>USD</v>
      </c>
      <c r="E68" s="1" t="str">
        <f>"2012"</f>
        <v>2012</v>
      </c>
      <c r="F68" s="1" t="str">
        <f>"Terence Dickinson"</f>
        <v>Terence Dickinson</v>
      </c>
      <c r="G68" s="1" t="str">
        <f>"bookcity"</f>
        <v>bookcity</v>
      </c>
    </row>
    <row r="69" spans="1:7" x14ac:dyDescent="0.2">
      <c r="A69" s="1" t="str">
        <f>"HUMAN UNIVERSE"</f>
        <v>HUMAN UNIVERSE</v>
      </c>
      <c r="B69" s="1" t="str">
        <f>"9780007488803"</f>
        <v>9780007488803</v>
      </c>
      <c r="C69" s="1">
        <v>32.5</v>
      </c>
      <c r="D69" s="1" t="str">
        <f>"USD"</f>
        <v>USD</v>
      </c>
      <c r="E69" s="1" t="str">
        <f>"2014"</f>
        <v>2014</v>
      </c>
      <c r="F69" s="1" t="str">
        <f>"BradyGames"</f>
        <v>BradyGames</v>
      </c>
      <c r="G69" s="1" t="str">
        <f>"bookcity"</f>
        <v>bookcity</v>
      </c>
    </row>
    <row r="70" spans="1:7" x14ac:dyDescent="0.2">
      <c r="A70" s="1" t="str">
        <f>"Imaging gaseous detectors and their applications"</f>
        <v>Imaging gaseous detectors and their applications</v>
      </c>
      <c r="B70" s="1" t="str">
        <f>"9783527408986"</f>
        <v>9783527408986</v>
      </c>
      <c r="C70" s="1">
        <v>128.1</v>
      </c>
      <c r="D70" s="1" t="str">
        <f>"USD"</f>
        <v>USD</v>
      </c>
      <c r="E70" s="1" t="str">
        <f>"2013"</f>
        <v>2013</v>
      </c>
      <c r="F70" s="1" t="str">
        <f>"Nappi"</f>
        <v>Nappi</v>
      </c>
      <c r="G70" s="1" t="str">
        <f>"avanddanesh"</f>
        <v>avanddanesh</v>
      </c>
    </row>
    <row r="71" spans="1:7" x14ac:dyDescent="0.2">
      <c r="A71" s="1" t="str">
        <f>"Interaction Between Earth's Rotation and Geophysical Processes"</f>
        <v>Interaction Between Earth's Rotation and Geophysical Processes</v>
      </c>
      <c r="B71" s="1" t="str">
        <f>"9783527408757"</f>
        <v>9783527408757</v>
      </c>
      <c r="C71" s="1">
        <v>132.29</v>
      </c>
      <c r="D71" s="1" t="str">
        <f>"USD"</f>
        <v>USD</v>
      </c>
      <c r="E71" s="1" t="str">
        <f>"2009"</f>
        <v>2009</v>
      </c>
      <c r="F71" s="1" t="str">
        <f>"Sidorenkov"</f>
        <v>Sidorenkov</v>
      </c>
      <c r="G71" s="1" t="str">
        <f>"safirketab"</f>
        <v>safirketab</v>
      </c>
    </row>
    <row r="72" spans="1:7" x14ac:dyDescent="0.2">
      <c r="A72" s="1" t="str">
        <f>"Interdisciplinary Transport Phenomena"</f>
        <v>Interdisciplinary Transport Phenomena</v>
      </c>
      <c r="B72" s="1" t="str">
        <f>"9781573317122"</f>
        <v>9781573317122</v>
      </c>
      <c r="C72" s="1">
        <v>112.5</v>
      </c>
      <c r="D72" s="1" t="str">
        <f>"USD"</f>
        <v>USD</v>
      </c>
      <c r="E72" s="1" t="str">
        <f>"2009"</f>
        <v>2009</v>
      </c>
      <c r="F72" s="1" t="str">
        <f>"Sadhal"</f>
        <v>Sadhal</v>
      </c>
      <c r="G72" s="1" t="str">
        <f>"safirketab"</f>
        <v>safirketab</v>
      </c>
    </row>
    <row r="73" spans="1:7" x14ac:dyDescent="0.2">
      <c r="A73" s="1" t="str">
        <f>"INTRODUCTION TO ASTRONOMY BY THEODORE METOCHITES: STOICHEIOSIS ASTRONOMIKE 1.5-30"</f>
        <v>INTRODUCTION TO ASTRONOMY BY THEODORE METOCHITES: STOICHEIOSIS ASTRONOMIKE 1.5-30</v>
      </c>
      <c r="B73" s="1" t="str">
        <f>"9789813207486"</f>
        <v>9789813207486</v>
      </c>
      <c r="C73" s="1">
        <v>117.9</v>
      </c>
      <c r="D73" s="1" t="str">
        <f>"GBP"</f>
        <v>GBP</v>
      </c>
      <c r="E73" s="1" t="str">
        <f>"2017"</f>
        <v>2017</v>
      </c>
      <c r="F73" s="1" t="str">
        <f>"PASCHOS EMMANUEL ET"</f>
        <v>PASCHOS EMMANUEL ET</v>
      </c>
      <c r="G73" s="1" t="str">
        <f>"AsarBartar"</f>
        <v>AsarBartar</v>
      </c>
    </row>
    <row r="74" spans="1:7" x14ac:dyDescent="0.2">
      <c r="A74" s="1" t="str">
        <f>"INTRODUCTION TO EARTH SCIENCES: A PHYSICS APPROACH"</f>
        <v>INTRODUCTION TO EARTH SCIENCES: A PHYSICS APPROACH</v>
      </c>
      <c r="B74" s="1" t="str">
        <f>"9789813148420"</f>
        <v>9789813148420</v>
      </c>
      <c r="C74" s="1">
        <v>50.4</v>
      </c>
      <c r="D74" s="1" t="str">
        <f>"GBP"</f>
        <v>GBP</v>
      </c>
      <c r="E74" s="1" t="str">
        <f>"2017"</f>
        <v>2017</v>
      </c>
      <c r="F74" s="1" t="str">
        <f>"IKELLE LUC THOMAS"</f>
        <v>IKELLE LUC THOMAS</v>
      </c>
      <c r="G74" s="1" t="str">
        <f>"AsarBartar"</f>
        <v>AsarBartar</v>
      </c>
    </row>
    <row r="75" spans="1:7" x14ac:dyDescent="0.2">
      <c r="A75" s="1" t="str">
        <f>"INTRODUCTION TO PARTICLE DARK MATTER, AN"</f>
        <v>INTRODUCTION TO PARTICLE DARK MATTER, AN</v>
      </c>
      <c r="B75" s="1" t="str">
        <f>"9781786340016"</f>
        <v>9781786340016</v>
      </c>
      <c r="C75" s="1">
        <v>34.200000000000003</v>
      </c>
      <c r="D75" s="1" t="str">
        <f>"GBP"</f>
        <v>GBP</v>
      </c>
      <c r="E75" s="1" t="str">
        <f>"2017"</f>
        <v>2017</v>
      </c>
      <c r="F75" s="1" t="str">
        <f>"PROFUMO STEFANO"</f>
        <v>PROFUMO STEFANO</v>
      </c>
      <c r="G75" s="1" t="str">
        <f>"AsarBartar"</f>
        <v>AsarBartar</v>
      </c>
    </row>
    <row r="76" spans="1:7" x14ac:dyDescent="0.2">
      <c r="A76" s="1" t="str">
        <f>"ISLAMIC ASTRONOMICAL TABLES  :  Mathematical Analysis and Historical Investigation, HB,          'NEW'           'BEST-SELLER'"</f>
        <v>ISLAMIC ASTRONOMICAL TABLES  :  Mathematical Analysis and Historical Investigation, HB,          'NEW'           'BEST-SELLER'</v>
      </c>
      <c r="B76" s="1" t="str">
        <f>"9781472422385"</f>
        <v>9781472422385</v>
      </c>
      <c r="C76" s="1">
        <v>99</v>
      </c>
      <c r="D76" s="1" t="str">
        <f t="shared" ref="D76:D82" si="3">"USD"</f>
        <v>USD</v>
      </c>
      <c r="E76" s="1" t="str">
        <f>"2014"</f>
        <v>2014</v>
      </c>
      <c r="F76" s="1" t="str">
        <f>"Benno van Dalen"</f>
        <v>Benno van Dalen</v>
      </c>
      <c r="G76" s="1" t="str">
        <f>"supply"</f>
        <v>supply</v>
      </c>
    </row>
    <row r="77" spans="1:7" x14ac:dyDescent="0.2">
      <c r="A77" s="1" t="str">
        <f>"Laboratory Astrochemistry: From Molecules through Nanoparticles to Grains"</f>
        <v>Laboratory Astrochemistry: From Molecules through Nanoparticles to Grains</v>
      </c>
      <c r="B77" s="1" t="str">
        <f>"9783527408894"</f>
        <v>9783527408894</v>
      </c>
      <c r="C77" s="1">
        <v>144.80000000000001</v>
      </c>
      <c r="D77" s="1" t="str">
        <f t="shared" si="3"/>
        <v>USD</v>
      </c>
      <c r="E77" s="1" t="str">
        <f>"2015"</f>
        <v>2015</v>
      </c>
      <c r="F77" s="1" t="str">
        <f>"Schlemmer"</f>
        <v>Schlemmer</v>
      </c>
      <c r="G77" s="1" t="str">
        <f>"avanddanesh"</f>
        <v>avanddanesh</v>
      </c>
    </row>
    <row r="78" spans="1:7" x14ac:dyDescent="0.2">
      <c r="A78" s="1" t="str">
        <f>"LIFE: Neil Armstrong 1930-2012                     "</f>
        <v xml:space="preserve">LIFE: Neil Armstrong 1930-2012                     </v>
      </c>
      <c r="B78" s="1" t="str">
        <f>"9781618930736"</f>
        <v>9781618930736</v>
      </c>
      <c r="C78" s="1">
        <v>17.989999999999998</v>
      </c>
      <c r="D78" s="1" t="str">
        <f t="shared" si="3"/>
        <v>USD</v>
      </c>
      <c r="E78" s="1" t="str">
        <f>"2012"</f>
        <v>2012</v>
      </c>
      <c r="F78" s="1" t="str">
        <f>"Jim Lovell"</f>
        <v>Jim Lovell</v>
      </c>
      <c r="G78" s="1" t="str">
        <f>"bookcity"</f>
        <v>bookcity</v>
      </c>
    </row>
    <row r="79" spans="1:7" x14ac:dyDescent="0.2">
      <c r="A79" s="1" t="str">
        <f>"Low-Frequency Waves in Space Plasmas"</f>
        <v>Low-Frequency Waves in Space Plasmas</v>
      </c>
      <c r="B79" s="1" t="str">
        <f>"9781119054955"</f>
        <v>9781119054955</v>
      </c>
      <c r="C79" s="1">
        <v>170</v>
      </c>
      <c r="D79" s="1" t="str">
        <f t="shared" si="3"/>
        <v>USD</v>
      </c>
      <c r="E79" s="1" t="str">
        <f>"2016"</f>
        <v>2016</v>
      </c>
      <c r="F79" s="1" t="str">
        <f>"Keiling"</f>
        <v>Keiling</v>
      </c>
      <c r="G79" s="1" t="str">
        <f>"avanddanesh"</f>
        <v>avanddanesh</v>
      </c>
    </row>
    <row r="80" spans="1:7" x14ac:dyDescent="0.2">
      <c r="A80" s="1" t="str">
        <f>"Magnetic Processes in Astrophysics"</f>
        <v>Magnetic Processes in Astrophysics</v>
      </c>
      <c r="B80" s="1" t="str">
        <f>"9783527410347"</f>
        <v>9783527410347</v>
      </c>
      <c r="C80" s="1">
        <v>114.4</v>
      </c>
      <c r="D80" s="1" t="str">
        <f t="shared" si="3"/>
        <v>USD</v>
      </c>
      <c r="E80" s="1" t="str">
        <f>"2013"</f>
        <v>2013</v>
      </c>
      <c r="F80" s="1" t="str">
        <f>"Rdiger"</f>
        <v>Rdiger</v>
      </c>
      <c r="G80" s="1" t="str">
        <f>"avanddanesh"</f>
        <v>avanddanesh</v>
      </c>
    </row>
    <row r="81" spans="1:7" x14ac:dyDescent="0.2">
      <c r="A81" s="1" t="str">
        <f>"Magnetosphere-Ionosphere Coupling in the Solar System"</f>
        <v>Magnetosphere-Ionosphere Coupling in the Solar System</v>
      </c>
      <c r="B81" s="1" t="str">
        <f>"9781119066774"</f>
        <v>9781119066774</v>
      </c>
      <c r="C81" s="1">
        <v>180</v>
      </c>
      <c r="D81" s="1" t="str">
        <f t="shared" si="3"/>
        <v>USD</v>
      </c>
      <c r="E81" s="1" t="str">
        <f>"2017"</f>
        <v>2017</v>
      </c>
      <c r="F81" s="1" t="str">
        <f>"Chappell"</f>
        <v>Chappell</v>
      </c>
      <c r="G81" s="1" t="str">
        <f>"avanddanesh"</f>
        <v>avanddanesh</v>
      </c>
    </row>
    <row r="82" spans="1:7" x14ac:dyDescent="0.2">
      <c r="A82" s="1" t="str">
        <f>"MARS: NEW VIEW OF THE RED PLANET"</f>
        <v>MARS: NEW VIEW OF THE RED PLANET</v>
      </c>
      <c r="B82" s="1" t="str">
        <f>"9781848664616"</f>
        <v>9781848664616</v>
      </c>
      <c r="C82" s="1">
        <v>25</v>
      </c>
      <c r="D82" s="1" t="str">
        <f t="shared" si="3"/>
        <v>USD</v>
      </c>
      <c r="E82" s="1" t="str">
        <f>"2014"</f>
        <v>2014</v>
      </c>
      <c r="F82" s="1" t="str">
        <f>"Bounty"</f>
        <v>Bounty</v>
      </c>
      <c r="G82" s="1" t="str">
        <f>"bookcity"</f>
        <v>bookcity</v>
      </c>
    </row>
    <row r="83" spans="1:7" x14ac:dyDescent="0.2">
      <c r="A83" s="1" t="str">
        <f>"Measuring the Universe : A Multiwavelength Perspective"</f>
        <v>Measuring the Universe : A Multiwavelength Perspective</v>
      </c>
      <c r="B83" s="1" t="str">
        <f>"9781108405232"</f>
        <v>9781108405232</v>
      </c>
      <c r="C83" s="1">
        <v>18.7</v>
      </c>
      <c r="D83" s="1" t="str">
        <f>"GBP"</f>
        <v>GBP</v>
      </c>
      <c r="E83" s="1" t="str">
        <f>"2017"</f>
        <v>2017</v>
      </c>
      <c r="F83" s="1" t="str">
        <f>"Rieke"</f>
        <v>Rieke</v>
      </c>
      <c r="G83" s="1" t="str">
        <f>"arzinbooks"</f>
        <v>arzinbooks</v>
      </c>
    </row>
    <row r="84" spans="1:7" x14ac:dyDescent="0.2">
      <c r="A84" s="1" t="str">
        <f>"MILESTONES OF SPACE"</f>
        <v>MILESTONES OF SPACE</v>
      </c>
      <c r="B84" s="1" t="str">
        <f>"9780760344446"</f>
        <v>9780760344446</v>
      </c>
      <c r="C84" s="1">
        <v>26</v>
      </c>
      <c r="D84" s="1" t="str">
        <f>"USD"</f>
        <v>USD</v>
      </c>
      <c r="E84" s="1" t="str">
        <f>"2014"</f>
        <v>2014</v>
      </c>
      <c r="F84" s="1" t="str">
        <f>"Bourzat,Catherine"</f>
        <v>Bourzat,Catherine</v>
      </c>
      <c r="G84" s="1" t="str">
        <f>"bookcity"</f>
        <v>bookcity</v>
      </c>
    </row>
    <row r="85" spans="1:7" x14ac:dyDescent="0.2">
      <c r="A85" s="1" t="str">
        <f>"NATURE GUIDE STARS AND PLANETS"</f>
        <v>NATURE GUIDE STARS AND PLANETS</v>
      </c>
      <c r="B85" s="1" t="str">
        <f>"9781405375870"</f>
        <v>9781405375870</v>
      </c>
      <c r="C85" s="1">
        <v>16.5</v>
      </c>
      <c r="D85" s="1" t="str">
        <f>"USD"</f>
        <v>USD</v>
      </c>
      <c r="E85" s="1" t="str">
        <f>"2014"</f>
        <v>2014</v>
      </c>
      <c r="F85" s="1" t="str">
        <f>"Bob Dylan"</f>
        <v>Bob Dylan</v>
      </c>
      <c r="G85" s="1" t="str">
        <f>"bookcity"</f>
        <v>bookcity</v>
      </c>
    </row>
    <row r="86" spans="1:7" x14ac:dyDescent="0.2">
      <c r="A86" s="1" t="str">
        <f>"NEUTRINO ASTRONOMY: CURRENT STATUS, FUTURE PROSPECTS"</f>
        <v>NEUTRINO ASTRONOMY: CURRENT STATUS, FUTURE PROSPECTS</v>
      </c>
      <c r="B86" s="1" t="str">
        <f>"9789814759403"</f>
        <v>9789814759403</v>
      </c>
      <c r="C86" s="1">
        <v>81</v>
      </c>
      <c r="D86" s="1" t="str">
        <f>"GBP"</f>
        <v>GBP</v>
      </c>
      <c r="E86" s="1" t="str">
        <f>"2017"</f>
        <v>2017</v>
      </c>
      <c r="F86" s="1" t="str">
        <f>"GAISSER THOMAS K ET"</f>
        <v>GAISSER THOMAS K ET</v>
      </c>
      <c r="G86" s="1" t="str">
        <f>"AsarBartar"</f>
        <v>AsarBartar</v>
      </c>
    </row>
    <row r="87" spans="1:7" x14ac:dyDescent="0.2">
      <c r="A87" s="1" t="str">
        <f>"Neutrinos in High Energy and Astroparticle Physics"</f>
        <v>Neutrinos in High Energy and Astroparticle Physics</v>
      </c>
      <c r="B87" s="1" t="str">
        <f>"9783527411979"</f>
        <v>9783527411979</v>
      </c>
      <c r="C87" s="1">
        <v>99.2</v>
      </c>
      <c r="D87" s="1" t="str">
        <f>"USD"</f>
        <v>USD</v>
      </c>
      <c r="E87" s="1" t="str">
        <f>"2015"</f>
        <v>2015</v>
      </c>
      <c r="F87" s="1" t="str">
        <f>"Valle"</f>
        <v>Valle</v>
      </c>
      <c r="G87" s="1" t="str">
        <f>"avanddanesh"</f>
        <v>avanddanesh</v>
      </c>
    </row>
    <row r="88" spans="1:7" x14ac:dyDescent="0.2">
      <c r="A88" s="1" t="str">
        <f>"Optical 3D-Spectroscopy for Astronomy"</f>
        <v>Optical 3D-Spectroscopy for Astronomy</v>
      </c>
      <c r="B88" s="1" t="str">
        <f>"9783527412020"</f>
        <v>9783527412020</v>
      </c>
      <c r="C88" s="1">
        <v>157.5</v>
      </c>
      <c r="D88" s="1" t="str">
        <f>"USD"</f>
        <v>USD</v>
      </c>
      <c r="E88" s="1" t="str">
        <f>"2017"</f>
        <v>2017</v>
      </c>
      <c r="F88" s="1" t="str">
        <f>"Bacon"</f>
        <v>Bacon</v>
      </c>
      <c r="G88" s="1" t="str">
        <f>"avanddanesh"</f>
        <v>avanddanesh</v>
      </c>
    </row>
    <row r="89" spans="1:7" x14ac:dyDescent="0.2">
      <c r="A89" s="1" t="str">
        <f>"ORIGIN AND EVOLUTION OF COMETS: TEN YEARS AFTER THE NICE MODEL AND ONE YEAR AFTER ROSETTA"</f>
        <v>ORIGIN AND EVOLUTION OF COMETS: TEN YEARS AFTER THE NICE MODEL AND ONE YEAR AFTER ROSETTA</v>
      </c>
      <c r="B89" s="1" t="str">
        <f>"9789813222571"</f>
        <v>9789813222571</v>
      </c>
      <c r="C89" s="1">
        <v>101.7</v>
      </c>
      <c r="D89" s="1" t="str">
        <f>"GBP"</f>
        <v>GBP</v>
      </c>
      <c r="E89" s="1" t="str">
        <f>"2018"</f>
        <v>2018</v>
      </c>
      <c r="F89" s="1" t="str">
        <f>"RICKMAN HANS"</f>
        <v>RICKMAN HANS</v>
      </c>
      <c r="G89" s="1" t="str">
        <f>"AsarBartar"</f>
        <v>AsarBartar</v>
      </c>
    </row>
    <row r="90" spans="1:7" x14ac:dyDescent="0.2">
      <c r="A90" s="1" t="str">
        <f>"OVERVIEW OF GRAVITATIONAL WAVES, AN: THEORY, SOURCES AND DETECTION"</f>
        <v>OVERVIEW OF GRAVITATIONAL WAVES, AN: THEORY, SOURCES AND DETECTION</v>
      </c>
      <c r="B90" s="1" t="str">
        <f>"9789813141759"</f>
        <v>9789813141759</v>
      </c>
      <c r="C90" s="1">
        <v>95.4</v>
      </c>
      <c r="D90" s="1" t="str">
        <f>"GBP"</f>
        <v>GBP</v>
      </c>
      <c r="E90" s="1" t="str">
        <f>"2017"</f>
        <v>2017</v>
      </c>
      <c r="F90" s="1" t="str">
        <f>"AUGER GERARD &amp; PLAG"</f>
        <v>AUGER GERARD &amp; PLAG</v>
      </c>
      <c r="G90" s="1" t="str">
        <f>"AsarBartar"</f>
        <v>AsarBartar</v>
      </c>
    </row>
    <row r="91" spans="1:7" x14ac:dyDescent="0.2">
      <c r="A91" s="1" t="str">
        <f>"Particle Physics,4e"</f>
        <v>Particle Physics,4e</v>
      </c>
      <c r="B91" s="1" t="str">
        <f>"9781118912164"</f>
        <v>9781118912164</v>
      </c>
      <c r="C91" s="1">
        <v>49.5</v>
      </c>
      <c r="D91" s="1" t="str">
        <f>"USD"</f>
        <v>USD</v>
      </c>
      <c r="E91" s="1" t="str">
        <f>"2017"</f>
        <v>2017</v>
      </c>
      <c r="F91" s="1" t="str">
        <f>"Martin"</f>
        <v>Martin</v>
      </c>
      <c r="G91" s="1" t="str">
        <f>"avanddanesh"</f>
        <v>avanddanesh</v>
      </c>
    </row>
    <row r="92" spans="1:7" x14ac:dyDescent="0.2">
      <c r="A92" s="1" t="str">
        <f>"PLANETFALL"</f>
        <v>PLANETFALL</v>
      </c>
      <c r="B92" s="1" t="str">
        <f>"9781419704222"</f>
        <v>9781419704222</v>
      </c>
      <c r="C92" s="1">
        <v>43.75</v>
      </c>
      <c r="D92" s="1" t="str">
        <f>"USD"</f>
        <v>USD</v>
      </c>
      <c r="E92" s="1" t="str">
        <f>"2012"</f>
        <v>2012</v>
      </c>
      <c r="F92" s="1" t="str">
        <f>"Benson,Michael"</f>
        <v>Benson,Michael</v>
      </c>
      <c r="G92" s="1" t="str">
        <f>"bookcity"</f>
        <v>bookcity</v>
      </c>
    </row>
    <row r="93" spans="1:7" x14ac:dyDescent="0.2">
      <c r="A93" s="1" t="str">
        <f>"Pluto and Charon: Ice Worlds on the Ragged Edge of the Solar System,2e"</f>
        <v>Pluto and Charon: Ice Worlds on the Ragged Edge of the Solar System,2e</v>
      </c>
      <c r="B93" s="1" t="str">
        <f>"9783527405565"</f>
        <v>9783527405565</v>
      </c>
      <c r="C93" s="1">
        <v>28</v>
      </c>
      <c r="D93" s="1" t="str">
        <f>"USD"</f>
        <v>USD</v>
      </c>
      <c r="E93" s="1" t="str">
        <f>"2005"</f>
        <v>2005</v>
      </c>
      <c r="F93" s="1" t="str">
        <f>"Stern"</f>
        <v>Stern</v>
      </c>
      <c r="G93" s="1" t="str">
        <f>"avanddanesh"</f>
        <v>avanddanesh</v>
      </c>
    </row>
    <row r="94" spans="1:7" x14ac:dyDescent="0.2">
      <c r="A94" s="1" t="str">
        <f>"Practical Astronomy with your Calculator or Spreadsheet"</f>
        <v>Practical Astronomy with your Calculator or Spreadsheet</v>
      </c>
      <c r="B94" s="1" t="str">
        <f>"9781108436076"</f>
        <v>9781108436076</v>
      </c>
      <c r="C94" s="1">
        <v>25.5</v>
      </c>
      <c r="D94" s="1" t="str">
        <f>"GBP"</f>
        <v>GBP</v>
      </c>
      <c r="E94" s="1" t="str">
        <f>"2017"</f>
        <v>2017</v>
      </c>
      <c r="F94" s="1" t="str">
        <f>"Duffett-Smith"</f>
        <v>Duffett-Smith</v>
      </c>
      <c r="G94" s="1" t="str">
        <f>"arzinbooks"</f>
        <v>arzinbooks</v>
      </c>
    </row>
    <row r="95" spans="1:7" x14ac:dyDescent="0.2">
      <c r="A95" s="1" t="str">
        <f>"Precision Cosmology : The First Half Million Years"</f>
        <v>Precision Cosmology : The First Half Million Years</v>
      </c>
      <c r="B95" s="1" t="str">
        <f>"9780521554336"</f>
        <v>9780521554336</v>
      </c>
      <c r="C95" s="1">
        <v>55.3</v>
      </c>
      <c r="D95" s="1" t="str">
        <f>"GBP"</f>
        <v>GBP</v>
      </c>
      <c r="E95" s="1" t="str">
        <f>"2017"</f>
        <v>2017</v>
      </c>
      <c r="F95" s="1" t="str">
        <f>"Jones"</f>
        <v>Jones</v>
      </c>
      <c r="G95" s="1" t="str">
        <f>"arzinbooks"</f>
        <v>arzinbooks</v>
      </c>
    </row>
    <row r="96" spans="1:7" x14ac:dyDescent="0.2">
      <c r="A96" s="1" t="str">
        <f>"PRIMORDIAL COSMOLOGY"</f>
        <v>PRIMORDIAL COSMOLOGY</v>
      </c>
      <c r="B96" s="1" t="str">
        <f>"9789814271004"</f>
        <v>9789814271004</v>
      </c>
      <c r="C96" s="1">
        <v>41.7</v>
      </c>
      <c r="D96" s="1" t="str">
        <f>"GBP"</f>
        <v>GBP</v>
      </c>
      <c r="E96" s="1" t="str">
        <f>"2011"</f>
        <v>2011</v>
      </c>
      <c r="F96" s="1" t="str">
        <f>"MONTANI GIOVANNI ET"</f>
        <v>MONTANI GIOVANNI ET</v>
      </c>
      <c r="G96" s="1" t="str">
        <f>"AsarBartar"</f>
        <v>AsarBartar</v>
      </c>
    </row>
    <row r="97" spans="1:7" x14ac:dyDescent="0.2">
      <c r="A97" s="1" t="str">
        <f>"Pulsating Stars"</f>
        <v>Pulsating Stars</v>
      </c>
      <c r="B97" s="1" t="str">
        <f>"9783527407156"</f>
        <v>9783527407156</v>
      </c>
      <c r="C97" s="1">
        <v>156.80000000000001</v>
      </c>
      <c r="D97" s="1" t="str">
        <f t="shared" ref="D97:D105" si="4">"USD"</f>
        <v>USD</v>
      </c>
      <c r="E97" s="1" t="str">
        <f>"2015"</f>
        <v>2015</v>
      </c>
      <c r="F97" s="1" t="str">
        <f>"Catelan"</f>
        <v>Catelan</v>
      </c>
      <c r="G97" s="1" t="str">
        <f>"avanddanesh"</f>
        <v>avanddanesh</v>
      </c>
    </row>
    <row r="98" spans="1:7" x14ac:dyDescent="0.2">
      <c r="A98" s="1" t="str">
        <f>"Reviews in Modarn Astronomy: Formation and Evolution of Cosmic Structures"</f>
        <v>Reviews in Modarn Astronomy: Formation and Evolution of Cosmic Structures</v>
      </c>
      <c r="B98" s="1" t="str">
        <f>"9783527409105"</f>
        <v>9783527409105</v>
      </c>
      <c r="C98" s="1">
        <v>120</v>
      </c>
      <c r="D98" s="1" t="str">
        <f t="shared" si="4"/>
        <v>USD</v>
      </c>
      <c r="E98" s="1" t="str">
        <f>"2009"</f>
        <v>2009</v>
      </c>
      <c r="F98" s="1" t="str">
        <f>"R?ser"</f>
        <v>R?ser</v>
      </c>
      <c r="G98" s="1" t="str">
        <f>"safirketab"</f>
        <v>safirketab</v>
      </c>
    </row>
    <row r="99" spans="1:7" x14ac:dyDescent="0.2">
      <c r="A99" s="1" t="str">
        <f>"Reviews in Modern Astronomy V18: From Cosmological"</f>
        <v>Reviews in Modern Astronomy V18: From Cosmological</v>
      </c>
      <c r="B99" s="1" t="str">
        <f>"9783527406081"</f>
        <v>9783527406081</v>
      </c>
      <c r="C99" s="1">
        <v>120</v>
      </c>
      <c r="D99" s="1" t="str">
        <f t="shared" si="4"/>
        <v>USD</v>
      </c>
      <c r="E99" s="1" t="str">
        <f>"2005"</f>
        <v>2005</v>
      </c>
      <c r="F99" s="1" t="str">
        <f>"R?ser"</f>
        <v>R?ser</v>
      </c>
      <c r="G99" s="1" t="str">
        <f>"safirketab"</f>
        <v>safirketab</v>
      </c>
    </row>
    <row r="100" spans="1:7" x14ac:dyDescent="0.2">
      <c r="A100" s="1" t="str">
        <f>"Reviews in Modern Astronomy V20: Cosmic Matter"</f>
        <v>Reviews in Modern Astronomy V20: Cosmic Matter</v>
      </c>
      <c r="B100" s="1" t="str">
        <f>"9783527408207"</f>
        <v>9783527408207</v>
      </c>
      <c r="C100" s="1">
        <v>111</v>
      </c>
      <c r="D100" s="1" t="str">
        <f t="shared" si="4"/>
        <v>USD</v>
      </c>
      <c r="E100" s="1" t="str">
        <f>"2008"</f>
        <v>2008</v>
      </c>
      <c r="F100" s="1" t="str">
        <f>"R?ser"</f>
        <v>R?ser</v>
      </c>
      <c r="G100" s="1" t="str">
        <f>"safirketab"</f>
        <v>safirketab</v>
      </c>
    </row>
    <row r="101" spans="1:7" x14ac:dyDescent="0.2">
      <c r="A101" s="1" t="str">
        <f>"Ripples in Spacetime : Einstein, Gravitational Waves, and the Future of Astronomy"</f>
        <v>Ripples in Spacetime : Einstein, Gravitational Waves, and the Future of Astronomy</v>
      </c>
      <c r="B101" s="1" t="str">
        <f>"9780674971660"</f>
        <v>9780674971660</v>
      </c>
      <c r="C101" s="1">
        <v>27</v>
      </c>
      <c r="D101" s="1" t="str">
        <f t="shared" si="4"/>
        <v>USD</v>
      </c>
      <c r="E101" s="1" t="str">
        <f>"2017"</f>
        <v>2017</v>
      </c>
      <c r="F101" s="1" t="str">
        <f>"Schilling, Govert"</f>
        <v>Schilling, Govert</v>
      </c>
      <c r="G101" s="1" t="str">
        <f>"arzinbooks"</f>
        <v>arzinbooks</v>
      </c>
    </row>
    <row r="102" spans="1:7" x14ac:dyDescent="0.2">
      <c r="A102" s="1" t="str">
        <f>"Saturn: A New View                                 "</f>
        <v xml:space="preserve">Saturn: A New View                                 </v>
      </c>
      <c r="B102" s="1" t="str">
        <f>"9780810930902"</f>
        <v>9780810930902</v>
      </c>
      <c r="C102" s="1">
        <v>36</v>
      </c>
      <c r="D102" s="1" t="str">
        <f t="shared" si="4"/>
        <v>USD</v>
      </c>
      <c r="E102" s="1" t="str">
        <f>"2006"</f>
        <v>2006</v>
      </c>
      <c r="F102" s="1" t="str">
        <f>"Laura Lovett "</f>
        <v xml:space="preserve">Laura Lovett </v>
      </c>
      <c r="G102" s="1" t="str">
        <f>"bookcity"</f>
        <v>bookcity</v>
      </c>
    </row>
    <row r="103" spans="1:7" x14ac:dyDescent="0.2">
      <c r="A103" s="1" t="str">
        <f>"SATURN: EXPLORING THE MYSTERY OF THE RINGED PLANET"</f>
        <v>SATURN: EXPLORING THE MYSTERY OF THE RINGED PLANET</v>
      </c>
      <c r="B103" s="1" t="str">
        <f>"9781554076499"</f>
        <v>9781554076499</v>
      </c>
      <c r="C103" s="1">
        <v>13.75</v>
      </c>
      <c r="D103" s="1" t="str">
        <f t="shared" si="4"/>
        <v>USD</v>
      </c>
      <c r="E103" s="1" t="str">
        <f>"2010"</f>
        <v>2010</v>
      </c>
      <c r="F103" s="1" t="str">
        <f>"Mortillaro,Nicole"</f>
        <v>Mortillaro,Nicole</v>
      </c>
      <c r="G103" s="1" t="str">
        <f>"bookcity"</f>
        <v>bookcity</v>
      </c>
    </row>
    <row r="104" spans="1:7" x14ac:dyDescent="0.2">
      <c r="A104" s="1" t="str">
        <f>"Solar and Space Weather Radiophysics: Current Status and Future Developments"</f>
        <v>Solar and Space Weather Radiophysics: Current Status and Future Developments</v>
      </c>
      <c r="B104" s="1" t="str">
        <f>"9781402028137"</f>
        <v>9781402028137</v>
      </c>
      <c r="C104" s="1">
        <v>115.99</v>
      </c>
      <c r="D104" s="1" t="str">
        <f t="shared" si="4"/>
        <v>USD</v>
      </c>
      <c r="E104" s="1" t="str">
        <f>"2004"</f>
        <v>2004</v>
      </c>
      <c r="F104" s="1" t="str">
        <f>"Springer"</f>
        <v>Springer</v>
      </c>
      <c r="G104" s="1" t="str">
        <f>"safirketab"</f>
        <v>safirketab</v>
      </c>
    </row>
    <row r="105" spans="1:7" x14ac:dyDescent="0.2">
      <c r="A105" s="1" t="str">
        <f>"Solar Astrophysics,3e"</f>
        <v>Solar Astrophysics,3e</v>
      </c>
      <c r="B105" s="1" t="str">
        <f>"9783527411740"</f>
        <v>9783527411740</v>
      </c>
      <c r="C105" s="1">
        <v>66.900000000000006</v>
      </c>
      <c r="D105" s="1" t="str">
        <f t="shared" si="4"/>
        <v>USD</v>
      </c>
      <c r="E105" s="1" t="str">
        <f>"2013"</f>
        <v>2013</v>
      </c>
      <c r="F105" s="1" t="str">
        <f>"Foukal"</f>
        <v>Foukal</v>
      </c>
      <c r="G105" s="1" t="str">
        <f>"avanddanesh"</f>
        <v>avanddanesh</v>
      </c>
    </row>
    <row r="106" spans="1:7" x14ac:dyDescent="0.2">
      <c r="A106" s="1" t="str">
        <f>"Solar Updraft Tower Power Technology"</f>
        <v>Solar Updraft Tower Power Technology</v>
      </c>
      <c r="B106" s="1" t="str">
        <f>"9783037856215"</f>
        <v>9783037856215</v>
      </c>
      <c r="C106" s="1">
        <v>70</v>
      </c>
      <c r="D106" s="1" t="str">
        <f>"EUR"</f>
        <v>EUR</v>
      </c>
      <c r="E106" s="1" t="str">
        <f>"2013"</f>
        <v>2013</v>
      </c>
      <c r="F106" s="1" t="str">
        <f>"Zhou"</f>
        <v>Zhou</v>
      </c>
      <c r="G106" s="1" t="str">
        <f>"jahanadib"</f>
        <v>jahanadib</v>
      </c>
    </row>
    <row r="107" spans="1:7" x14ac:dyDescent="0.2">
      <c r="A107" s="1" t="str">
        <f>"space a childrens encyclopedia"</f>
        <v>space a childrens encyclopedia</v>
      </c>
      <c r="B107" s="1" t="str">
        <f>"9781405353755"</f>
        <v>9781405353755</v>
      </c>
      <c r="C107" s="1">
        <v>16.190000000000001</v>
      </c>
      <c r="D107" s="1" t="str">
        <f>"GBP"</f>
        <v>GBP</v>
      </c>
      <c r="E107" s="1" t="str">
        <f>"2010"</f>
        <v>2010</v>
      </c>
      <c r="F107" s="1" t="str">
        <f>"A. Klett,Arne"</f>
        <v>A. Klett,Arne</v>
      </c>
      <c r="G107" s="1" t="str">
        <f>"bookcity"</f>
        <v>bookcity</v>
      </c>
    </row>
    <row r="108" spans="1:7" x14ac:dyDescent="0.2">
      <c r="A108" s="1" t="str">
        <f>"SPACE BOOK, THE"</f>
        <v>SPACE BOOK, THE</v>
      </c>
      <c r="B108" s="1" t="str">
        <f>"9781402780714"</f>
        <v>9781402780714</v>
      </c>
      <c r="C108" s="1">
        <v>22.5</v>
      </c>
      <c r="D108" s="1" t="str">
        <f>"GBP"</f>
        <v>GBP</v>
      </c>
      <c r="E108" s="1" t="str">
        <f>"2013"</f>
        <v>2013</v>
      </c>
      <c r="F108" s="1" t="str">
        <f>"Jim Bell"</f>
        <v>Jim Bell</v>
      </c>
      <c r="G108" s="1" t="str">
        <f>"bookcity"</f>
        <v>bookcity</v>
      </c>
    </row>
    <row r="109" spans="1:7" x14ac:dyDescent="0.2">
      <c r="A109" s="1" t="str">
        <f>"Space Travel and Culture:From Apollo to Space Tourism"</f>
        <v>Space Travel and Culture:From Apollo to Space Tourism</v>
      </c>
      <c r="B109" s="1" t="str">
        <f>"9781405193320"</f>
        <v>9781405193320</v>
      </c>
      <c r="C109" s="1">
        <v>26.21</v>
      </c>
      <c r="D109" s="1" t="str">
        <f>"USD"</f>
        <v>USD</v>
      </c>
      <c r="E109" s="1" t="str">
        <f>"2009"</f>
        <v>2009</v>
      </c>
      <c r="F109" s="1" t="str">
        <f>"Bell"</f>
        <v>Bell</v>
      </c>
      <c r="G109" s="1" t="str">
        <f>"safirketab"</f>
        <v>safirketab</v>
      </c>
    </row>
    <row r="110" spans="1:7" x14ac:dyDescent="0.2">
      <c r="A110" s="1" t="str">
        <f>"Space Visual Encyclopedia"</f>
        <v>Space Visual Encyclopedia</v>
      </c>
      <c r="B110" s="1" t="str">
        <f>"9780241228432"</f>
        <v>9780241228432</v>
      </c>
      <c r="C110" s="1">
        <v>11.69</v>
      </c>
      <c r="D110" s="1" t="str">
        <f>"GBP"</f>
        <v>GBP</v>
      </c>
      <c r="E110" s="1" t="str">
        <f>"2016"</f>
        <v>2016</v>
      </c>
      <c r="F110" s="1" t="str">
        <f>"Couper, Heather,Henb"</f>
        <v>Couper, Heather,Henb</v>
      </c>
      <c r="G110" s="1" t="str">
        <f>"bookcity"</f>
        <v>bookcity</v>
      </c>
    </row>
    <row r="111" spans="1:7" x14ac:dyDescent="0.2">
      <c r="A111" s="1" t="str">
        <f>"Spectral Atlas for Amateur Astronomers: A Guide to the Spectra of Astronomical Objects and Terrestrial Light Sources"</f>
        <v>Spectral Atlas for Amateur Astronomers: A Guide to the Spectra of Astronomical Objects and Terrestrial Light Sources</v>
      </c>
      <c r="B111" s="1" t="str">
        <f>"9781107165908"</f>
        <v>9781107165908</v>
      </c>
      <c r="C111" s="1">
        <v>51</v>
      </c>
      <c r="D111" s="1" t="str">
        <f>"GBP"</f>
        <v>GBP</v>
      </c>
      <c r="E111" s="1" t="str">
        <f>"2017"</f>
        <v>2017</v>
      </c>
      <c r="F111" s="1" t="str">
        <f>"Walker"</f>
        <v>Walker</v>
      </c>
      <c r="G111" s="1" t="str">
        <f>"arzinbooks"</f>
        <v>arzinbooks</v>
      </c>
    </row>
    <row r="112" spans="1:7" x14ac:dyDescent="0.2">
      <c r="A112" s="1" t="str">
        <f>"Spectroscopy for Amateur Astronomers: Recording, Processing, Analysis and Interpretation"</f>
        <v>Spectroscopy for Amateur Astronomers: Recording, Processing, Analysis and Interpretation</v>
      </c>
      <c r="B112" s="1" t="str">
        <f>"9781107166189"</f>
        <v>9781107166189</v>
      </c>
      <c r="C112" s="1">
        <v>29.8</v>
      </c>
      <c r="D112" s="1" t="str">
        <f>"GBP"</f>
        <v>GBP</v>
      </c>
      <c r="E112" s="1" t="str">
        <f>"2017"</f>
        <v>2017</v>
      </c>
      <c r="F112" s="1" t="str">
        <f>"Trypsteen"</f>
        <v>Trypsteen</v>
      </c>
      <c r="G112" s="1" t="str">
        <f>"arzinbooks"</f>
        <v>arzinbooks</v>
      </c>
    </row>
    <row r="113" spans="1:7" x14ac:dyDescent="0.2">
      <c r="A113" s="1" t="str">
        <f>"Star Clusters and Black Holes in Galaxies across Cosmic Time (IAU S312)"</f>
        <v>Star Clusters and Black Holes in Galaxies across Cosmic Time (IAU S312)</v>
      </c>
      <c r="B113" s="1" t="str">
        <f>"9781107078727"</f>
        <v>9781107078727</v>
      </c>
      <c r="C113" s="1">
        <v>60</v>
      </c>
      <c r="D113" s="1" t="str">
        <f>"GBP"</f>
        <v>GBP</v>
      </c>
      <c r="E113" s="1" t="str">
        <f>"2016"</f>
        <v>2016</v>
      </c>
      <c r="F113" s="1" t="str">
        <f>"Yohai Meiron , Shuo "</f>
        <v xml:space="preserve">Yohai Meiron , Shuo </v>
      </c>
      <c r="G113" s="1" t="str">
        <f>"arzinbooks"</f>
        <v>arzinbooks</v>
      </c>
    </row>
    <row r="114" spans="1:7" x14ac:dyDescent="0.2">
      <c r="A114" s="1" t="str">
        <f>"STAR FORMATION"</f>
        <v>STAR FORMATION</v>
      </c>
      <c r="B114" s="1" t="str">
        <f>"9789813142039"</f>
        <v>9789813142039</v>
      </c>
      <c r="C114" s="1">
        <v>69.3</v>
      </c>
      <c r="D114" s="1" t="str">
        <f>"GBP"</f>
        <v>GBP</v>
      </c>
      <c r="E114" s="1" t="str">
        <f>"2017"</f>
        <v>2017</v>
      </c>
      <c r="F114" s="1" t="str">
        <f>"KRUMHOLZ MARK R"</f>
        <v>KRUMHOLZ MARK R</v>
      </c>
      <c r="G114" s="1" t="str">
        <f>"AsarBartar"</f>
        <v>AsarBartar</v>
      </c>
    </row>
    <row r="115" spans="1:7" x14ac:dyDescent="0.2">
      <c r="A115" s="1" t="str">
        <f>"Star Ware: The Amateur Astronomer's Guide to Choosing, Buying, and Using Telescopes and Accessories,4e"</f>
        <v>Star Ware: The Amateur Astronomer's Guide to Choosing, Buying, and Using Telescopes and Accessories,4e</v>
      </c>
      <c r="B115" s="1" t="str">
        <f>"9780471750635"</f>
        <v>9780471750635</v>
      </c>
      <c r="C115" s="1">
        <v>8.8000000000000007</v>
      </c>
      <c r="D115" s="1" t="str">
        <f>"USD"</f>
        <v>USD</v>
      </c>
      <c r="E115" s="1" t="str">
        <f>"2007"</f>
        <v>2007</v>
      </c>
      <c r="F115" s="1" t="str">
        <f>"Harrington"</f>
        <v>Harrington</v>
      </c>
      <c r="G115" s="1" t="str">
        <f>"avanddanesh"</f>
        <v>avanddanesh</v>
      </c>
    </row>
    <row r="116" spans="1:7" x14ac:dyDescent="0.2">
      <c r="A116" s="1" t="str">
        <f>"STARMUS"</f>
        <v>STARMUS</v>
      </c>
      <c r="B116" s="1" t="str">
        <f>"9781780975597"</f>
        <v>9781780975597</v>
      </c>
      <c r="C116" s="1">
        <v>39</v>
      </c>
      <c r="D116" s="1" t="str">
        <f>"USD"</f>
        <v>USD</v>
      </c>
      <c r="E116" s="1" t="str">
        <f>"2014"</f>
        <v>2014</v>
      </c>
      <c r="F116" s="1" t="str">
        <f>"Israelian,Garik"</f>
        <v>Israelian,Garik</v>
      </c>
      <c r="G116" s="1" t="str">
        <f>"bookcity"</f>
        <v>bookcity</v>
      </c>
    </row>
    <row r="117" spans="1:7" x14ac:dyDescent="0.2">
      <c r="A117" s="1" t="str">
        <f>"Stars and Planets"</f>
        <v>Stars and Planets</v>
      </c>
      <c r="B117" s="1" t="str">
        <f>"9780241288085"</f>
        <v>9780241288085</v>
      </c>
      <c r="C117" s="1">
        <v>6.29</v>
      </c>
      <c r="D117" s="1" t="str">
        <f>"GBP"</f>
        <v>GBP</v>
      </c>
      <c r="E117" s="1" t="str">
        <f>"2017"</f>
        <v>2017</v>
      </c>
      <c r="F117" s="1" t="str">
        <f>"DK"</f>
        <v>DK</v>
      </c>
      <c r="G117" s="1" t="str">
        <f>"bookcity"</f>
        <v>bookcity</v>
      </c>
    </row>
    <row r="118" spans="1:7" x14ac:dyDescent="0.2">
      <c r="A118" s="1" t="str">
        <f>"Stellar Polarimetry"</f>
        <v>Stellar Polarimetry</v>
      </c>
      <c r="B118" s="1" t="str">
        <f>"9783527408955"</f>
        <v>9783527408955</v>
      </c>
      <c r="C118" s="1">
        <v>70.400000000000006</v>
      </c>
      <c r="D118" s="1" t="str">
        <f>"USD"</f>
        <v>USD</v>
      </c>
      <c r="E118" s="1" t="str">
        <f>"2009"</f>
        <v>2009</v>
      </c>
      <c r="F118" s="1" t="str">
        <f>"Clarke"</f>
        <v>Clarke</v>
      </c>
      <c r="G118" s="1" t="str">
        <f>"safirketab"</f>
        <v>safirketab</v>
      </c>
    </row>
    <row r="119" spans="1:7" x14ac:dyDescent="0.2">
      <c r="A119" s="1" t="str">
        <f>"Stellar Polarimetry"</f>
        <v>Stellar Polarimetry</v>
      </c>
      <c r="B119" s="1" t="str">
        <f>"9783527408955"</f>
        <v>9783527408955</v>
      </c>
      <c r="C119" s="1">
        <v>70.400000000000006</v>
      </c>
      <c r="D119" s="1" t="str">
        <f>"USD"</f>
        <v>USD</v>
      </c>
      <c r="E119" s="1" t="str">
        <f>"2009"</f>
        <v>2009</v>
      </c>
      <c r="F119" s="1" t="str">
        <f>"Clarke"</f>
        <v>Clarke</v>
      </c>
      <c r="G119" s="1" t="str">
        <f>"avanddanesh"</f>
        <v>avanddanesh</v>
      </c>
    </row>
    <row r="120" spans="1:7" x14ac:dyDescent="0.2">
      <c r="A120" s="1" t="str">
        <f>"The Art of Astrophotography"</f>
        <v>The Art of Astrophotography</v>
      </c>
      <c r="B120" s="1" t="str">
        <f>"9781316618417"</f>
        <v>9781316618417</v>
      </c>
      <c r="C120" s="1">
        <v>25.5</v>
      </c>
      <c r="D120" s="1" t="str">
        <f>"GBP"</f>
        <v>GBP</v>
      </c>
      <c r="E120" s="1" t="str">
        <f>"2017"</f>
        <v>2017</v>
      </c>
      <c r="F120" s="1" t="str">
        <f>"Ian Morison"</f>
        <v>Ian Morison</v>
      </c>
      <c r="G120" s="1" t="str">
        <f>"arzinbooks"</f>
        <v>arzinbooks</v>
      </c>
    </row>
    <row r="121" spans="1:7" x14ac:dyDescent="0.2">
      <c r="A121" s="1" t="str">
        <f>"The Astronomy Book"</f>
        <v>The Astronomy Book</v>
      </c>
      <c r="B121" s="1" t="str">
        <f>"9780241225936"</f>
        <v>9780241225936</v>
      </c>
      <c r="C121" s="1">
        <v>29.75</v>
      </c>
      <c r="D121" s="1" t="str">
        <f>"USD"</f>
        <v>USD</v>
      </c>
      <c r="E121" s="1" t="str">
        <f>"2017"</f>
        <v>2017</v>
      </c>
      <c r="F121" s="1" t="str">
        <f>"Charlie Hamilton Jam"</f>
        <v>Charlie Hamilton Jam</v>
      </c>
      <c r="G121" s="1" t="str">
        <f>"bookcity"</f>
        <v>bookcity</v>
      </c>
    </row>
    <row r="122" spans="1:7" x14ac:dyDescent="0.2">
      <c r="A122" s="1" t="str">
        <f>"The Cambridge Photographic Atlas of Galaxies"</f>
        <v>The Cambridge Photographic Atlas of Galaxies</v>
      </c>
      <c r="B122" s="1" t="str">
        <f>"9781107189485"</f>
        <v>9781107189485</v>
      </c>
      <c r="C122" s="1">
        <v>38.299999999999997</v>
      </c>
      <c r="D122" s="1" t="str">
        <f>"GBP"</f>
        <v>GBP</v>
      </c>
      <c r="E122" s="1" t="str">
        <f>"2017"</f>
        <v>2017</v>
      </c>
      <c r="F122" s="1" t="str">
        <f>"Michael K?nig andÂ St"</f>
        <v>Michael K?nig andÂ St</v>
      </c>
      <c r="G122" s="1" t="str">
        <f>"arzinbooks"</f>
        <v>arzinbooks</v>
      </c>
    </row>
    <row r="123" spans="1:7" x14ac:dyDescent="0.2">
      <c r="A123" s="1" t="str">
        <f>"The Cosmological Singularity"</f>
        <v>The Cosmological Singularity</v>
      </c>
      <c r="B123" s="1" t="str">
        <f>"9781107047471"</f>
        <v>9781107047471</v>
      </c>
      <c r="C123" s="1">
        <v>93.5</v>
      </c>
      <c r="D123" s="1" t="str">
        <f>"GBP"</f>
        <v>GBP</v>
      </c>
      <c r="E123" s="1" t="str">
        <f>"2017"</f>
        <v>2017</v>
      </c>
      <c r="F123" s="1" t="str">
        <f>"Belinski"</f>
        <v>Belinski</v>
      </c>
      <c r="G123" s="1" t="str">
        <f>"arzinbooks"</f>
        <v>arzinbooks</v>
      </c>
    </row>
    <row r="124" spans="1:7" x14ac:dyDescent="0.2">
      <c r="A124" s="1" t="str">
        <f>"The General Assembly of Galaxy Halos (IAU S317): Structure, Origin and Evolution"</f>
        <v>The General Assembly of Galaxy Halos (IAU S317): Structure, Origin and Evolution</v>
      </c>
      <c r="B124" s="1" t="str">
        <f>"9781107138193"</f>
        <v>9781107138193</v>
      </c>
      <c r="C124" s="1">
        <v>60</v>
      </c>
      <c r="D124" s="1" t="str">
        <f>"GBP"</f>
        <v>GBP</v>
      </c>
      <c r="E124" s="1" t="str">
        <f>"2016"</f>
        <v>2016</v>
      </c>
      <c r="F124" s="1" t="str">
        <f>"Angela Bragaglia , M"</f>
        <v>Angela Bragaglia , M</v>
      </c>
      <c r="G124" s="1" t="str">
        <f>"arzinbooks"</f>
        <v>arzinbooks</v>
      </c>
    </row>
    <row r="125" spans="1:7" x14ac:dyDescent="0.2">
      <c r="A125" s="1" t="str">
        <f>"The Light of the World: Astronomy in al-Andalus (Berkeley Series in Postclassical Islamic Scholarship)"</f>
        <v>The Light of the World: Astronomy in al-Andalus (Berkeley Series in Postclassical Islamic Scholarship)</v>
      </c>
      <c r="B125" s="1" t="str">
        <f>"9780520287990"</f>
        <v>9780520287990</v>
      </c>
      <c r="C125" s="1">
        <v>80.75</v>
      </c>
      <c r="D125" s="1" t="str">
        <f>"USD"</f>
        <v>USD</v>
      </c>
      <c r="E125" s="1" t="str">
        <f>"2016"</f>
        <v>2016</v>
      </c>
      <c r="F125" s="1" t="str">
        <f>"JOSEPH IBN NAHMIAS,"</f>
        <v>JOSEPH IBN NAHMIAS,</v>
      </c>
      <c r="G125" s="1" t="str">
        <f>"AsarBartar"</f>
        <v>AsarBartar</v>
      </c>
    </row>
    <row r="126" spans="1:7" x14ac:dyDescent="0.2">
      <c r="A126" s="1" t="str">
        <f>"The Meaning of the Wave Function: In Search of the Ontology of Quantum MechanicsÂ "</f>
        <v>The Meaning of the Wave Function: In Search of the Ontology of Quantum MechanicsÂ </v>
      </c>
      <c r="B126" s="1" t="str">
        <f>"9781107124356"</f>
        <v>9781107124356</v>
      </c>
      <c r="C126" s="1">
        <v>76.5</v>
      </c>
      <c r="D126" s="1" t="str">
        <f>"GBP"</f>
        <v>GBP</v>
      </c>
      <c r="E126" s="1" t="str">
        <f>"2017"</f>
        <v>2017</v>
      </c>
      <c r="F126" s="1" t="str">
        <f>"Shan Gao"</f>
        <v>Shan Gao</v>
      </c>
      <c r="G126" s="1" t="str">
        <f>"arzinbooks"</f>
        <v>arzinbooks</v>
      </c>
    </row>
    <row r="127" spans="1:7" x14ac:dyDescent="0.2">
      <c r="A127" s="1" t="str">
        <f>"The Naval Institute Guide To Combat Fleets Of The World 1993: Their Ships,Aircraft,And Armament"</f>
        <v>The Naval Institute Guide To Combat Fleets Of The World 1993: Their Ships,Aircraft,And Armament</v>
      </c>
      <c r="B127" s="1" t="str">
        <f>"9781557501042"</f>
        <v>9781557501042</v>
      </c>
      <c r="C127" s="1">
        <v>68.75</v>
      </c>
      <c r="D127" s="1" t="str">
        <f>"USD"</f>
        <v>USD</v>
      </c>
      <c r="E127" s="1" t="str">
        <f>"2000"</f>
        <v>2000</v>
      </c>
      <c r="F127" s="1" t="str">
        <f>"Bernard Prezelin,A. "</f>
        <v xml:space="preserve">Bernard Prezelin,A. </v>
      </c>
      <c r="G127" s="1" t="str">
        <f>"bookcity"</f>
        <v>bookcity</v>
      </c>
    </row>
    <row r="128" spans="1:7" x14ac:dyDescent="0.2">
      <c r="A128" s="1" t="str">
        <f>"THE PERIODIC TABLE BOOK"</f>
        <v>THE PERIODIC TABLE BOOK</v>
      </c>
      <c r="B128" s="1" t="str">
        <f>"9780241240434"</f>
        <v>9780241240434</v>
      </c>
      <c r="C128" s="1">
        <v>13.49</v>
      </c>
      <c r="D128" s="1" t="str">
        <f>"GBP"</f>
        <v>GBP</v>
      </c>
      <c r="E128" s="1" t="str">
        <f>"2017"</f>
        <v>2017</v>
      </c>
      <c r="F128" s="1" t="str">
        <f>"DK"</f>
        <v>DK</v>
      </c>
      <c r="G128" s="1" t="str">
        <f>"bookcity"</f>
        <v>bookcity</v>
      </c>
    </row>
    <row r="129" spans="1:7" x14ac:dyDescent="0.2">
      <c r="A129" s="1" t="str">
        <f>"The Philosophy of CosmologyÂ "</f>
        <v>The Philosophy of CosmologyÂ </v>
      </c>
      <c r="B129" s="1" t="str">
        <f>"9781107145399"</f>
        <v>9781107145399</v>
      </c>
      <c r="C129" s="1">
        <v>42.5</v>
      </c>
      <c r="D129" s="1" t="str">
        <f>"GBP"</f>
        <v>GBP</v>
      </c>
      <c r="E129" s="1" t="str">
        <f>"2017"</f>
        <v>2017</v>
      </c>
      <c r="F129" s="1" t="str">
        <f>"Khalil Chamcham , Jo"</f>
        <v>Khalil Chamcham , Jo</v>
      </c>
      <c r="G129" s="1" t="str">
        <f>"arzinbooks"</f>
        <v>arzinbooks</v>
      </c>
    </row>
    <row r="130" spans="1:7" x14ac:dyDescent="0.2">
      <c r="A130" s="1" t="str">
        <f>"The Practical Astronomer"</f>
        <v>The Practical Astronomer</v>
      </c>
      <c r="B130" s="1" t="str">
        <f>"9780241302231"</f>
        <v>9780241302231</v>
      </c>
      <c r="C130" s="1">
        <v>13.49</v>
      </c>
      <c r="D130" s="1" t="str">
        <f>"GBP"</f>
        <v>GBP</v>
      </c>
      <c r="E130" s="1" t="str">
        <f>"2017"</f>
        <v>2017</v>
      </c>
      <c r="F130" s="1" t="str">
        <f>"DK"</f>
        <v>DK</v>
      </c>
      <c r="G130" s="1" t="str">
        <f>"bookcity"</f>
        <v>bookcity</v>
      </c>
    </row>
    <row r="131" spans="1:7" x14ac:dyDescent="0.2">
      <c r="A131" s="1" t="str">
        <f>"The Stars (Dk)"</f>
        <v>The Stars (Dk)</v>
      </c>
      <c r="B131" s="1" t="str">
        <f>"9780241226025"</f>
        <v>9780241226025</v>
      </c>
      <c r="C131" s="1">
        <v>33</v>
      </c>
      <c r="D131" s="1" t="str">
        <f t="shared" ref="D131:D138" si="5">"USD"</f>
        <v>USD</v>
      </c>
      <c r="E131" s="1" t="str">
        <f>"2016"</f>
        <v>2016</v>
      </c>
      <c r="F131" s="1" t="str">
        <f>"Castle,Richard"</f>
        <v>Castle,Richard</v>
      </c>
      <c r="G131" s="1" t="str">
        <f>"bookcity"</f>
        <v>bookcity</v>
      </c>
    </row>
    <row r="132" spans="1:7" x14ac:dyDescent="0.2">
      <c r="A132" s="1" t="str">
        <f>"Theoretical Astrophysics: An Introduction"</f>
        <v>Theoretical Astrophysics: An Introduction</v>
      </c>
      <c r="B132" s="1" t="str">
        <f>"9783527410040"</f>
        <v>9783527410040</v>
      </c>
      <c r="C132" s="1">
        <v>68.400000000000006</v>
      </c>
      <c r="D132" s="1" t="str">
        <f t="shared" si="5"/>
        <v>USD</v>
      </c>
      <c r="E132" s="1" t="str">
        <f>"2012"</f>
        <v>2012</v>
      </c>
      <c r="F132" s="1" t="str">
        <f>"Bartelmann"</f>
        <v>Bartelmann</v>
      </c>
      <c r="G132" s="1" t="str">
        <f>"avanddanesh"</f>
        <v>avanddanesh</v>
      </c>
    </row>
    <row r="133" spans="1:7" x14ac:dyDescent="0.2">
      <c r="A133" s="1" t="str">
        <f>"Time - From Earth Rotation to Atomic Physics"</f>
        <v>Time - From Earth Rotation to Atomic Physics</v>
      </c>
      <c r="B133" s="1" t="str">
        <f>"9783527407804"</f>
        <v>9783527407804</v>
      </c>
      <c r="C133" s="1">
        <v>64</v>
      </c>
      <c r="D133" s="1" t="str">
        <f t="shared" si="5"/>
        <v>USD</v>
      </c>
      <c r="E133" s="1" t="str">
        <f>"2009"</f>
        <v>2009</v>
      </c>
      <c r="F133" s="1" t="str">
        <f>"McCarthy"</f>
        <v>McCarthy</v>
      </c>
      <c r="G133" s="1" t="str">
        <f>"safirketab"</f>
        <v>safirketab</v>
      </c>
    </row>
    <row r="134" spans="1:7" x14ac:dyDescent="0.2">
      <c r="A134" s="1" t="str">
        <f>"TIME: 100 New Scientific Discoveries               "</f>
        <v xml:space="preserve">TIME: 100 New Scientific Discoveries               </v>
      </c>
      <c r="B134" s="1" t="str">
        <f>"9781603201728"</f>
        <v>9781603201728</v>
      </c>
      <c r="C134" s="1">
        <v>4.59</v>
      </c>
      <c r="D134" s="1" t="str">
        <f t="shared" si="5"/>
        <v>USD</v>
      </c>
      <c r="E134" s="1" t="str">
        <f>"2011"</f>
        <v>2011</v>
      </c>
      <c r="F134" s="1" t="str">
        <f>"TIME"</f>
        <v>TIME</v>
      </c>
      <c r="G134" s="1" t="str">
        <f>"bookcity"</f>
        <v>bookcity</v>
      </c>
    </row>
    <row r="135" spans="1:7" x14ac:dyDescent="0.2">
      <c r="A135" s="1" t="str">
        <f>"Time: From Earth Rotation to Atomic Physics"</f>
        <v>Time: From Earth Rotation to Atomic Physics</v>
      </c>
      <c r="B135" s="1" t="str">
        <f>"9783527407804"</f>
        <v>9783527407804</v>
      </c>
      <c r="C135" s="1">
        <v>64</v>
      </c>
      <c r="D135" s="1" t="str">
        <f t="shared" si="5"/>
        <v>USD</v>
      </c>
      <c r="E135" s="1" t="str">
        <f>"2009"</f>
        <v>2009</v>
      </c>
      <c r="F135" s="1" t="str">
        <f>"McCarthy"</f>
        <v>McCarthy</v>
      </c>
      <c r="G135" s="1" t="str">
        <f>"avanddanesh"</f>
        <v>avanddanesh</v>
      </c>
    </row>
    <row r="136" spans="1:7" x14ac:dyDescent="0.2">
      <c r="A136" s="1" t="str">
        <f>"Understanding Our Universe - with Ebook andSmartwork5 3e                                                                                                "</f>
        <v xml:space="preserve">Understanding Our Universe - with Ebook andSmartwork5 3e                                                                                                </v>
      </c>
      <c r="B136" s="1" t="str">
        <f>"9780393631715"</f>
        <v>9780393631715</v>
      </c>
      <c r="C136" s="1">
        <v>100.93</v>
      </c>
      <c r="D136" s="1" t="str">
        <f t="shared" si="5"/>
        <v>USD</v>
      </c>
      <c r="E136" s="1" t="str">
        <f>"2018"</f>
        <v>2018</v>
      </c>
      <c r="F136" s="1" t="str">
        <f>"Palen          "</f>
        <v xml:space="preserve">Palen          </v>
      </c>
      <c r="G136" s="1" t="str">
        <f>"safirketab"</f>
        <v>safirketab</v>
      </c>
    </row>
    <row r="137" spans="1:7" x14ac:dyDescent="0.2">
      <c r="A137" s="1" t="str">
        <f>"Understanding Our Universe - with Ebook andSmartwork5 3e                                                                                                "</f>
        <v xml:space="preserve">Understanding Our Universe - with Ebook andSmartwork5 3e                                                                                                </v>
      </c>
      <c r="B137" s="1" t="str">
        <f>"9780393631715"</f>
        <v>9780393631715</v>
      </c>
      <c r="C137" s="1">
        <v>100.94</v>
      </c>
      <c r="D137" s="1" t="str">
        <f t="shared" si="5"/>
        <v>USD</v>
      </c>
      <c r="E137" s="1" t="str">
        <f>"2018"</f>
        <v>2018</v>
      </c>
      <c r="F137" s="1" t="str">
        <f>"Palen          "</f>
        <v xml:space="preserve">Palen          </v>
      </c>
      <c r="G137" s="1" t="str">
        <f>"jahanadib"</f>
        <v>jahanadib</v>
      </c>
    </row>
    <row r="138" spans="1:7" x14ac:dyDescent="0.2">
      <c r="A138" s="1" t="str">
        <f>"Understanding Our Universe 2e                                                                                                                           "</f>
        <v xml:space="preserve">Understanding Our Universe 2e                                                                                                                           </v>
      </c>
      <c r="B138" s="1" t="str">
        <f>"9780393936315"</f>
        <v>9780393936315</v>
      </c>
      <c r="C138" s="1">
        <v>90.31</v>
      </c>
      <c r="D138" s="1" t="str">
        <f t="shared" si="5"/>
        <v>USD</v>
      </c>
      <c r="E138" s="1" t="str">
        <f>"2014"</f>
        <v>2014</v>
      </c>
      <c r="F138" s="1" t="str">
        <f>"Palen          "</f>
        <v xml:space="preserve">Palen          </v>
      </c>
      <c r="G138" s="1" t="str">
        <f>"jahanadib"</f>
        <v>jahanadib</v>
      </c>
    </row>
    <row r="139" spans="1:7" x14ac:dyDescent="0.2">
      <c r="A139" s="1" t="str">
        <f>"Unveiling Galaxies : The Role of Images in Astronomical Discovery"</f>
        <v>Unveiling Galaxies : The Role of Images in Astronomical Discovery</v>
      </c>
      <c r="B139" s="1" t="str">
        <f>"9781108417013"</f>
        <v>9781108417013</v>
      </c>
      <c r="C139" s="1">
        <v>29.8</v>
      </c>
      <c r="D139" s="1" t="str">
        <f>"GBP"</f>
        <v>GBP</v>
      </c>
      <c r="E139" s="1" t="str">
        <f>"2017"</f>
        <v>2017</v>
      </c>
      <c r="F139" s="1" t="str">
        <f>"Roy"</f>
        <v>Roy</v>
      </c>
      <c r="G139" s="1" t="str">
        <f>"arzinbooks"</f>
        <v>arzinbooks</v>
      </c>
    </row>
    <row r="140" spans="1:7" x14ac:dyDescent="0.2">
      <c r="A140" s="1" t="str">
        <f>"US Spacesuits"</f>
        <v>US Spacesuits</v>
      </c>
      <c r="B140" s="1" t="str">
        <f>"9780387279190"</f>
        <v>9780387279190</v>
      </c>
      <c r="C140" s="1">
        <v>28</v>
      </c>
      <c r="D140" s="1" t="str">
        <f>"USD"</f>
        <v>USD</v>
      </c>
      <c r="E140" s="1" t="str">
        <f>"2005"</f>
        <v>2005</v>
      </c>
      <c r="F140" s="1" t="str">
        <f>"Thomas,K.S.;McMann"</f>
        <v>Thomas,K.S.;McMann</v>
      </c>
      <c r="G140" s="1" t="str">
        <f>"safirketab"</f>
        <v>safirketab</v>
      </c>
    </row>
    <row r="141" spans="1:7" x14ac:dyDescent="0.2">
      <c r="A141" s="1" t="str">
        <f>"Verborgenes Universum"</f>
        <v>Verborgenes Universum</v>
      </c>
      <c r="B141" s="1" t="str">
        <f>"9783527408689"</f>
        <v>9783527408689</v>
      </c>
      <c r="C141" s="1">
        <v>26.21</v>
      </c>
      <c r="D141" s="1" t="str">
        <f>"USD"</f>
        <v>USD</v>
      </c>
      <c r="E141" s="1" t="str">
        <f>"2009"</f>
        <v>2009</v>
      </c>
      <c r="F141" s="1" t="str">
        <f>"Christensen"</f>
        <v>Christensen</v>
      </c>
      <c r="G141" s="1" t="str">
        <f>"safirketab"</f>
        <v>safirketab</v>
      </c>
    </row>
    <row r="142" spans="1:7" x14ac:dyDescent="0.2">
      <c r="A142" s="1" t="str">
        <f>"Virtual Astrophysical Jets"</f>
        <v>Virtual Astrophysical Jets</v>
      </c>
      <c r="B142" s="1" t="str">
        <f>"9781402000928"</f>
        <v>9781402000928</v>
      </c>
      <c r="C142" s="1">
        <v>84</v>
      </c>
      <c r="D142" s="1" t="str">
        <f>"USD"</f>
        <v>USD</v>
      </c>
      <c r="E142" s="1" t="str">
        <f>"2004"</f>
        <v>2004</v>
      </c>
      <c r="F142" s="1" t="str">
        <f>"Massaglia,S.(Eds)"</f>
        <v>Massaglia,S.(Eds)</v>
      </c>
      <c r="G142" s="1" t="str">
        <f>"safirketab"</f>
        <v>safirketab</v>
      </c>
    </row>
    <row r="143" spans="1:7" x14ac:dyDescent="0.2">
      <c r="A143" s="1" t="str">
        <f>"What is Life? On Earth and Beyond"</f>
        <v>What is Life? On Earth and Beyond</v>
      </c>
      <c r="B143" s="1" t="str">
        <f>"9781107175891"</f>
        <v>9781107175891</v>
      </c>
      <c r="C143" s="1">
        <v>93.5</v>
      </c>
      <c r="D143" s="1" t="str">
        <f>"GBP"</f>
        <v>GBP</v>
      </c>
      <c r="E143" s="1" t="str">
        <f>"2017"</f>
        <v>2017</v>
      </c>
      <c r="F143" s="1" t="str">
        <f>"Losch"</f>
        <v>Losch</v>
      </c>
      <c r="G143" s="1" t="str">
        <f>"arzinbooks"</f>
        <v>arzinbooks</v>
      </c>
    </row>
    <row r="144" spans="1:7" x14ac:dyDescent="0.2">
      <c r="A144" s="1" t="str">
        <f>"White Dwarf Atmospheres and Circumstellar Environments"</f>
        <v>White Dwarf Atmospheres and Circumstellar Environments</v>
      </c>
      <c r="B144" s="1" t="str">
        <f>"9783527410316"</f>
        <v>9783527410316</v>
      </c>
      <c r="C144" s="1">
        <v>66</v>
      </c>
      <c r="D144" s="1" t="str">
        <f>"USD"</f>
        <v>USD</v>
      </c>
      <c r="E144" s="1" t="str">
        <f>"2011"</f>
        <v>2011</v>
      </c>
      <c r="F144" s="1" t="str">
        <f>"Hoard"</f>
        <v>Hoard</v>
      </c>
      <c r="G144" s="1" t="str">
        <f>"avanddanesh"</f>
        <v>avanddanesh</v>
      </c>
    </row>
    <row r="145" spans="1:10" x14ac:dyDescent="0.2">
      <c r="A145" s="1" t="str">
        <f>"Worlds Fantastic, Worlds Familiar: A Guided Tour of the Solar SystemÂ "</f>
        <v>Worlds Fantastic, Worlds Familiar: A Guided Tour of the Solar SystemÂ </v>
      </c>
      <c r="B145" s="1" t="str">
        <f>"9781107152748"</f>
        <v>9781107152748</v>
      </c>
      <c r="C145" s="1">
        <v>17</v>
      </c>
      <c r="D145" s="1" t="str">
        <f>"GBP"</f>
        <v>GBP</v>
      </c>
      <c r="E145" s="1" t="str">
        <f>"2017"</f>
        <v>2017</v>
      </c>
      <c r="F145" s="1" t="str">
        <f>"Bonnie J. Buratti"</f>
        <v>Bonnie J. Buratti</v>
      </c>
      <c r="G145" s="1" t="str">
        <f>"arzinbooks"</f>
        <v>arzinbooks</v>
      </c>
    </row>
    <row r="147" spans="1:10" ht="15" customHeight="1" x14ac:dyDescent="0.2">
      <c r="A147" s="28" t="s">
        <v>9</v>
      </c>
      <c r="B147" s="29"/>
      <c r="C147" s="29"/>
      <c r="D147" s="29"/>
      <c r="E147" s="29"/>
      <c r="F147" s="29"/>
      <c r="G147" s="29"/>
      <c r="H147" s="29"/>
      <c r="I147" s="29"/>
      <c r="J147" s="30"/>
    </row>
    <row r="148" spans="1:10" x14ac:dyDescent="0.2">
      <c r="A148" s="31"/>
      <c r="B148" s="32"/>
      <c r="C148" s="32"/>
      <c r="D148" s="32"/>
      <c r="E148" s="32"/>
      <c r="F148" s="32"/>
      <c r="G148" s="32"/>
      <c r="H148" s="32"/>
      <c r="I148" s="32"/>
      <c r="J148" s="33"/>
    </row>
    <row r="149" spans="1:10" ht="29.25" customHeight="1" x14ac:dyDescent="0.2">
      <c r="A149" s="12" t="s">
        <v>0</v>
      </c>
      <c r="B149" s="12" t="s">
        <v>1</v>
      </c>
      <c r="C149" s="12" t="s">
        <v>2</v>
      </c>
      <c r="D149" s="12" t="s">
        <v>3</v>
      </c>
      <c r="E149" s="12" t="s">
        <v>4</v>
      </c>
      <c r="F149" s="12" t="s">
        <v>5</v>
      </c>
      <c r="G149" s="12" t="s">
        <v>6</v>
      </c>
      <c r="H149" s="12"/>
      <c r="I149" s="12"/>
      <c r="J149" s="13"/>
    </row>
    <row r="150" spans="1:10" x14ac:dyDescent="0.2">
      <c r="A150" s="1" t="str">
        <f>" Physical Basis of Ultrahigh Vacuum"</f>
        <v xml:space="preserve"> Physical Basis of Ultrahigh Vacuum</v>
      </c>
      <c r="B150" s="1" t="str">
        <f>"9781563961229"</f>
        <v>9781563961229</v>
      </c>
      <c r="C150" s="1">
        <v>53.2</v>
      </c>
      <c r="D150" s="1" t="str">
        <f>"USD"</f>
        <v>USD</v>
      </c>
      <c r="E150" s="1" t="str">
        <f>"1993"</f>
        <v>1993</v>
      </c>
      <c r="F150" s="1" t="str">
        <f>"Redhead"</f>
        <v>Redhead</v>
      </c>
      <c r="G150" s="1" t="str">
        <f>"supply"</f>
        <v>supply</v>
      </c>
      <c r="J150" s="1"/>
    </row>
    <row r="151" spans="1:10" x14ac:dyDescent="0.2">
      <c r="A151" s="1" t="str">
        <f>"* Concepts of Electrodynamics"</f>
        <v>* Concepts of Electrodynamics</v>
      </c>
      <c r="B151" s="1" t="str">
        <f>"9781842659632"</f>
        <v>9781842659632</v>
      </c>
      <c r="C151" s="1">
        <v>31.46</v>
      </c>
      <c r="D151" s="1" t="str">
        <f t="shared" ref="D151:D156" si="6">"GBP"</f>
        <v>GBP</v>
      </c>
      <c r="E151" s="1" t="str">
        <f>"2016"</f>
        <v>2016</v>
      </c>
      <c r="F151" s="1" t="str">
        <f>"Kumar"</f>
        <v>Kumar</v>
      </c>
      <c r="G151" s="1" t="str">
        <f t="shared" ref="G151:G156" si="7">"safirketab"</f>
        <v>safirketab</v>
      </c>
      <c r="J151" s="1"/>
    </row>
    <row r="152" spans="1:10" x14ac:dyDescent="0.2">
      <c r="A152" s="1" t="str">
        <f>"* Engineering Physics, Fourth Edition"</f>
        <v>* Engineering Physics, Fourth Edition</v>
      </c>
      <c r="B152" s="1" t="str">
        <f>"9781842658895"</f>
        <v>9781842658895</v>
      </c>
      <c r="C152" s="1">
        <v>34.96</v>
      </c>
      <c r="D152" s="1" t="str">
        <f t="shared" si="6"/>
        <v>GBP</v>
      </c>
      <c r="E152" s="1" t="str">
        <f>"2015"</f>
        <v>2015</v>
      </c>
      <c r="F152" s="1" t="str">
        <f>"Mukherji"</f>
        <v>Mukherji</v>
      </c>
      <c r="G152" s="1" t="str">
        <f t="shared" si="7"/>
        <v>safirketab</v>
      </c>
      <c r="J152" s="1"/>
    </row>
    <row r="153" spans="1:10" x14ac:dyDescent="0.2">
      <c r="A153" s="1" t="str">
        <f>"* Introduction to General Relativity"</f>
        <v>* Introduction to General Relativity</v>
      </c>
      <c r="B153" s="1" t="str">
        <f>"9781842659496"</f>
        <v>9781842659496</v>
      </c>
      <c r="C153" s="1">
        <v>20.96</v>
      </c>
      <c r="D153" s="1" t="str">
        <f t="shared" si="6"/>
        <v>GBP</v>
      </c>
      <c r="E153" s="1" t="str">
        <f>"2016"</f>
        <v>2016</v>
      </c>
      <c r="F153" s="1" t="str">
        <f>"Parthasarathy"</f>
        <v>Parthasarathy</v>
      </c>
      <c r="G153" s="1" t="str">
        <f t="shared" si="7"/>
        <v>safirketab</v>
      </c>
      <c r="J153" s="1"/>
    </row>
    <row r="154" spans="1:10" x14ac:dyDescent="0.2">
      <c r="A154" s="1" t="str">
        <f>"* Textbook of Physics for Engineers:  Volume I"</f>
        <v>* Textbook of Physics for Engineers:  Volume I</v>
      </c>
      <c r="B154" s="1" t="str">
        <f>"9781842659410"</f>
        <v>9781842659410</v>
      </c>
      <c r="C154" s="1">
        <v>24.46</v>
      </c>
      <c r="D154" s="1" t="str">
        <f t="shared" si="6"/>
        <v>GBP</v>
      </c>
      <c r="E154" s="1" t="str">
        <f>"2015"</f>
        <v>2015</v>
      </c>
      <c r="F154" s="1" t="str">
        <f>"Chandra"</f>
        <v>Chandra</v>
      </c>
      <c r="G154" s="1" t="str">
        <f t="shared" si="7"/>
        <v>safirketab</v>
      </c>
      <c r="J154" s="1"/>
    </row>
    <row r="155" spans="1:10" x14ac:dyDescent="0.2">
      <c r="A155" s="1" t="str">
        <f>"* Textbook of Physics for Engineers:  Volume II"</f>
        <v>* Textbook of Physics for Engineers:  Volume II</v>
      </c>
      <c r="B155" s="1" t="str">
        <f>"9781842659687"</f>
        <v>9781842659687</v>
      </c>
      <c r="C155" s="1">
        <v>17.46</v>
      </c>
      <c r="D155" s="1" t="str">
        <f t="shared" si="6"/>
        <v>GBP</v>
      </c>
      <c r="E155" s="1" t="str">
        <f>"2015"</f>
        <v>2015</v>
      </c>
      <c r="F155" s="1" t="str">
        <f>"Chandra"</f>
        <v>Chandra</v>
      </c>
      <c r="G155" s="1" t="str">
        <f t="shared" si="7"/>
        <v>safirketab</v>
      </c>
      <c r="J155" s="1"/>
    </row>
    <row r="156" spans="1:10" x14ac:dyDescent="0.2">
      <c r="A156" s="1" t="str">
        <f>"* University Physics: For Engineering and Science Students"</f>
        <v>* University Physics: For Engineering and Science Students</v>
      </c>
      <c r="B156" s="1" t="str">
        <f>"9781842658956"</f>
        <v>9781842658956</v>
      </c>
      <c r="C156" s="1">
        <v>41.96</v>
      </c>
      <c r="D156" s="1" t="str">
        <f t="shared" si="6"/>
        <v>GBP</v>
      </c>
      <c r="E156" s="1" t="str">
        <f>"2015"</f>
        <v>2015</v>
      </c>
      <c r="F156" s="1" t="str">
        <f>"Chaddha"</f>
        <v>Chaddha</v>
      </c>
      <c r="G156" s="1" t="str">
        <f t="shared" si="7"/>
        <v>safirketab</v>
      </c>
      <c r="J156" s="1"/>
    </row>
    <row r="157" spans="1:10" x14ac:dyDescent="0.2">
      <c r="A157" s="1" t="str">
        <f>"200 More Puzzling Physics Problems"</f>
        <v>200 More Puzzling Physics Problems</v>
      </c>
      <c r="B157" s="1" t="str">
        <f>"9781107491700"</f>
        <v>9781107491700</v>
      </c>
      <c r="C157" s="1">
        <v>26.99</v>
      </c>
      <c r="D157" s="1" t="str">
        <f>"USD"</f>
        <v>USD</v>
      </c>
      <c r="E157" s="1" t="str">
        <f>"2016"</f>
        <v>2016</v>
      </c>
      <c r="F157" s="1" t="str">
        <f>"gnading"</f>
        <v>gnading</v>
      </c>
      <c r="G157" s="1" t="str">
        <f>"dehkadehketab"</f>
        <v>dehkadehketab</v>
      </c>
      <c r="J157" s="1"/>
    </row>
    <row r="158" spans="1:10" x14ac:dyDescent="0.2">
      <c r="A158" s="1" t="str">
        <f>"7th International Conference of Nitride Semiconductors, Las Vegas, Nevada, USA 16-21 September 2007"</f>
        <v>7th International Conference of Nitride Semiconductors, Las Vegas, Nevada, USA 16-21 September 2007</v>
      </c>
      <c r="B158" s="1" t="str">
        <f>"9781118008072"</f>
        <v>9781118008072</v>
      </c>
      <c r="C158" s="1">
        <v>196.56</v>
      </c>
      <c r="D158" s="1" t="str">
        <f>"USD"</f>
        <v>USD</v>
      </c>
      <c r="E158" s="1" t="str">
        <f>"2010"</f>
        <v>2010</v>
      </c>
      <c r="F158" s="1" t="str">
        <f>"Palacios"</f>
        <v>Palacios</v>
      </c>
      <c r="G158" s="1" t="str">
        <f>"safirketab"</f>
        <v>safirketab</v>
      </c>
      <c r="J158" s="1"/>
    </row>
    <row r="159" spans="1:10" x14ac:dyDescent="0.2">
      <c r="A159" s="1" t="str">
        <f>"A Bouquet of Numbers and Other Scientific Offerings"</f>
        <v>A Bouquet of Numbers and Other Scientific Offerings</v>
      </c>
      <c r="B159" s="1" t="str">
        <f>"9789814759779"</f>
        <v>9789814759779</v>
      </c>
      <c r="C159" s="1">
        <v>19.55</v>
      </c>
      <c r="D159" s="1" t="str">
        <f>"GBP"</f>
        <v>GBP</v>
      </c>
      <c r="E159" s="1" t="str">
        <f>"2016"</f>
        <v>2016</v>
      </c>
      <c r="F159" s="1" t="str">
        <f>"Jeremy Bernstein"</f>
        <v>Jeremy Bernstein</v>
      </c>
      <c r="G159" s="1" t="str">
        <f>"AsarBartar"</f>
        <v>AsarBartar</v>
      </c>
      <c r="J159" s="1"/>
    </row>
    <row r="160" spans="1:10" x14ac:dyDescent="0.2">
      <c r="A160" s="1" t="str">
        <f>"A Concise Course on the Theory of Classical Liquids: Basics and Selected Topics"</f>
        <v>A Concise Course on the Theory of Classical Liquids: Basics and Selected Topics</v>
      </c>
      <c r="B160" s="1" t="str">
        <f>"9783319296661"</f>
        <v>9783319296661</v>
      </c>
      <c r="C160" s="1">
        <v>40.49</v>
      </c>
      <c r="D160" s="1" t="str">
        <f>"EUR"</f>
        <v>EUR</v>
      </c>
      <c r="E160" s="1" t="str">
        <f>"2016"</f>
        <v>2016</v>
      </c>
      <c r="F160" s="1" t="str">
        <f>"Santos"</f>
        <v>Santos</v>
      </c>
      <c r="G160" s="1" t="str">
        <f>"negarestanabi"</f>
        <v>negarestanabi</v>
      </c>
      <c r="J160" s="1"/>
    </row>
    <row r="161" spans="1:10" x14ac:dyDescent="0.2">
      <c r="A161" s="1" t="str">
        <f>"A Course in Classical Physics 1â€”Mechanics"</f>
        <v>A Course in Classical Physics 1â€”Mechanics</v>
      </c>
      <c r="B161" s="1" t="str">
        <f>"9783319292564"</f>
        <v>9783319292564</v>
      </c>
      <c r="C161" s="1">
        <v>53.99</v>
      </c>
      <c r="D161" s="1" t="str">
        <f>"EUR"</f>
        <v>EUR</v>
      </c>
      <c r="E161" s="1" t="str">
        <f>"2016"</f>
        <v>2016</v>
      </c>
      <c r="F161" s="1" t="str">
        <f>"Bettini"</f>
        <v>Bettini</v>
      </c>
      <c r="G161" s="1" t="str">
        <f>"negarestanabi"</f>
        <v>negarestanabi</v>
      </c>
      <c r="J161" s="1"/>
    </row>
    <row r="162" spans="1:10" x14ac:dyDescent="0.2">
      <c r="A162" s="1" t="str">
        <f>"A Course in Classical Physics 2â€”Fluids and Thermodynamics"</f>
        <v>A Course in Classical Physics 2â€”Fluids and Thermodynamics</v>
      </c>
      <c r="B162" s="1" t="str">
        <f>"9783319306858"</f>
        <v>9783319306858</v>
      </c>
      <c r="C162" s="1">
        <v>40.49</v>
      </c>
      <c r="D162" s="1" t="str">
        <f>"EUR"</f>
        <v>EUR</v>
      </c>
      <c r="E162" s="1" t="str">
        <f>"2016"</f>
        <v>2016</v>
      </c>
      <c r="F162" s="1" t="str">
        <f>"Bettini"</f>
        <v>Bettini</v>
      </c>
      <c r="G162" s="1" t="str">
        <f>"negarestanabi"</f>
        <v>negarestanabi</v>
      </c>
      <c r="J162" s="1"/>
    </row>
    <row r="163" spans="1:10" x14ac:dyDescent="0.2">
      <c r="A163" s="1" t="str">
        <f>"A Course in Classical Physics 4 - Waves and Light"</f>
        <v>A Course in Classical Physics 4 - Waves and Light</v>
      </c>
      <c r="B163" s="1" t="str">
        <f>"9783319483283"</f>
        <v>9783319483283</v>
      </c>
      <c r="C163" s="1">
        <v>53.99</v>
      </c>
      <c r="D163" s="1" t="str">
        <f>"EUR"</f>
        <v>EUR</v>
      </c>
      <c r="E163" s="1" t="str">
        <f>"2017"</f>
        <v>2017</v>
      </c>
      <c r="F163" s="1" t="str">
        <f>"Bettini"</f>
        <v>Bettini</v>
      </c>
      <c r="G163" s="1" t="str">
        <f>"negarestanabi"</f>
        <v>negarestanabi</v>
      </c>
      <c r="J163" s="1"/>
    </row>
    <row r="164" spans="1:10" x14ac:dyDescent="0.2">
      <c r="A164" s="1" t="str">
        <f>"A Group Theoretic Approach to Quantum Information"</f>
        <v>A Group Theoretic Approach to Quantum Information</v>
      </c>
      <c r="B164" s="1" t="str">
        <f>"9783319452395"</f>
        <v>9783319452395</v>
      </c>
      <c r="C164" s="1">
        <v>51.29</v>
      </c>
      <c r="D164" s="1" t="str">
        <f>"EUR"</f>
        <v>EUR</v>
      </c>
      <c r="E164" s="1" t="str">
        <f>"2017"</f>
        <v>2017</v>
      </c>
      <c r="F164" s="1" t="str">
        <f>"Hayashi"</f>
        <v>Hayashi</v>
      </c>
      <c r="G164" s="1" t="str">
        <f>"negarestanabi"</f>
        <v>negarestanabi</v>
      </c>
      <c r="J164" s="1"/>
    </row>
    <row r="165" spans="1:10" x14ac:dyDescent="0.2">
      <c r="A165" s="1" t="str">
        <f>"A Hands-On Course in Sensors Using the Arduino and Raspberry Pi (Series in Sensors)"</f>
        <v>A Hands-On Course in Sensors Using the Arduino and Raspberry Pi (Series in Sensors)</v>
      </c>
      <c r="B165" s="1" t="str">
        <f>"9780815393603"</f>
        <v>9780815393603</v>
      </c>
      <c r="C165" s="1">
        <v>62.99</v>
      </c>
      <c r="D165" s="1" t="str">
        <f>"GBP"</f>
        <v>GBP</v>
      </c>
      <c r="E165" s="1" t="str">
        <f>"2018"</f>
        <v>2018</v>
      </c>
      <c r="F165" s="1" t="str">
        <f>"Ziemann"</f>
        <v>Ziemann</v>
      </c>
      <c r="G165" s="1" t="str">
        <f>"sal"</f>
        <v>sal</v>
      </c>
      <c r="J165" s="1"/>
    </row>
    <row r="166" spans="1:10" x14ac:dyDescent="0.2">
      <c r="A166" s="1" t="str">
        <f>"A Philosophical Approach to Quantum Field Theory"</f>
        <v>A Philosophical Approach to Quantum Field Theory</v>
      </c>
      <c r="B166" s="1" t="str">
        <f>"9781108415118"</f>
        <v>9781108415118</v>
      </c>
      <c r="C166" s="1">
        <v>34</v>
      </c>
      <c r="D166" s="1" t="str">
        <f>"GBP"</f>
        <v>GBP</v>
      </c>
      <c r="E166" s="1" t="str">
        <f>"2018"</f>
        <v>2018</v>
      </c>
      <c r="F166" s="1" t="str">
        <f>"Hans Christian ?ttin"</f>
        <v>Hans Christian ?ttin</v>
      </c>
      <c r="G166" s="1" t="str">
        <f>"arzinbooks"</f>
        <v>arzinbooks</v>
      </c>
      <c r="J166" s="1"/>
    </row>
    <row r="167" spans="1:10" x14ac:dyDescent="0.2">
      <c r="A167" s="1" t="str">
        <f>"A Practical Guide to Experimental Geometrical Optics : Pract Guide Exprimntl Geomet Optics"</f>
        <v>A Practical Guide to Experimental Geometrical Optics : Pract Guide Exprimntl Geomet Optics</v>
      </c>
      <c r="B167" s="1" t="str">
        <f>"9781107170940"</f>
        <v>9781107170940</v>
      </c>
      <c r="C167" s="1">
        <v>29.8</v>
      </c>
      <c r="D167" s="1" t="str">
        <f>"GBP"</f>
        <v>GBP</v>
      </c>
      <c r="E167" s="1" t="str">
        <f>"2018"</f>
        <v>2018</v>
      </c>
      <c r="F167" s="1" t="str">
        <f>"Garbovskiy"</f>
        <v>Garbovskiy</v>
      </c>
      <c r="G167" s="1" t="str">
        <f>"arzinbooks"</f>
        <v>arzinbooks</v>
      </c>
      <c r="J167" s="1"/>
    </row>
    <row r="168" spans="1:10" x14ac:dyDescent="0.2">
      <c r="A168" s="1" t="str">
        <f>"A Primer on Quantum Fluids"</f>
        <v>A Primer on Quantum Fluids</v>
      </c>
      <c r="B168" s="1" t="str">
        <f>"9783319424743"</f>
        <v>9783319424743</v>
      </c>
      <c r="C168" s="1">
        <v>49.49</v>
      </c>
      <c r="D168" s="1" t="str">
        <f>"EUR"</f>
        <v>EUR</v>
      </c>
      <c r="E168" s="1" t="str">
        <f>"2016"</f>
        <v>2016</v>
      </c>
      <c r="F168" s="1" t="str">
        <f>"Barenghi"</f>
        <v>Barenghi</v>
      </c>
      <c r="G168" s="1" t="str">
        <f>"negarestanabi"</f>
        <v>negarestanabi</v>
      </c>
      <c r="J168" s="1"/>
    </row>
    <row r="169" spans="1:10" x14ac:dyDescent="0.2">
      <c r="A169" s="1" t="str">
        <f>"A Primer on String Theory"</f>
        <v>A Primer on String Theory</v>
      </c>
      <c r="B169" s="1" t="str">
        <f>"9781316612835"</f>
        <v>9781316612835</v>
      </c>
      <c r="C169" s="1">
        <v>23.8</v>
      </c>
      <c r="D169" s="1" t="str">
        <f>"GBP"</f>
        <v>GBP</v>
      </c>
      <c r="E169" s="1" t="str">
        <f>"2017"</f>
        <v>2017</v>
      </c>
      <c r="F169" s="1" t="str">
        <f>"Schomerus"</f>
        <v>Schomerus</v>
      </c>
      <c r="G169" s="1" t="str">
        <f>"arzinbooks"</f>
        <v>arzinbooks</v>
      </c>
      <c r="J169" s="1"/>
    </row>
    <row r="170" spans="1:10" x14ac:dyDescent="0.2">
      <c r="A170" s="1" t="str">
        <f>"A Primer to the Theory of Critical Phenomena"</f>
        <v>A Primer to the Theory of Critical Phenomena</v>
      </c>
      <c r="B170" s="1" t="str">
        <f>"9780128046852"</f>
        <v>9780128046852</v>
      </c>
      <c r="C170" s="1">
        <v>45</v>
      </c>
      <c r="D170" s="1" t="str">
        <f>"USD"</f>
        <v>USD</v>
      </c>
      <c r="E170" s="1" t="str">
        <f>"2017"</f>
        <v>2017</v>
      </c>
      <c r="F170" s="1" t="str">
        <f>"Honig and Spalek"</f>
        <v>Honig and Spalek</v>
      </c>
      <c r="G170" s="1" t="str">
        <f>"dehkadehketab"</f>
        <v>dehkadehketab</v>
      </c>
      <c r="J170" s="1"/>
    </row>
    <row r="171" spans="1:10" x14ac:dyDescent="0.2">
      <c r="A171" s="1" t="str">
        <f>"A Question and Answer Guide to Astronomy"</f>
        <v>A Question and Answer Guide to Astronomy</v>
      </c>
      <c r="B171" s="1" t="str">
        <f>"9781316614105"</f>
        <v>9781316614105</v>
      </c>
      <c r="C171" s="1">
        <v>26.99</v>
      </c>
      <c r="D171" s="1" t="str">
        <f>"USD"</f>
        <v>USD</v>
      </c>
      <c r="E171" s="1" t="str">
        <f>"2017"</f>
        <v>2017</v>
      </c>
      <c r="F171" s="1" t="str">
        <f>"Christian"</f>
        <v>Christian</v>
      </c>
      <c r="G171" s="1" t="str">
        <f>"dehkadehketab"</f>
        <v>dehkadehketab</v>
      </c>
      <c r="J171" s="1"/>
    </row>
    <row r="172" spans="1:10" x14ac:dyDescent="0.2">
      <c r="A172" s="1" t="str">
        <f>"A Second Course in Topos Quantum Theory"</f>
        <v>A Second Course in Topos Quantum Theory</v>
      </c>
      <c r="B172" s="1" t="str">
        <f>"9783319711072"</f>
        <v>9783319711072</v>
      </c>
      <c r="C172" s="1">
        <v>40.49</v>
      </c>
      <c r="D172" s="1" t="str">
        <f>"EUR"</f>
        <v>EUR</v>
      </c>
      <c r="E172" s="1" t="str">
        <f>"2018"</f>
        <v>2018</v>
      </c>
      <c r="F172" s="1" t="str">
        <f>"Flori"</f>
        <v>Flori</v>
      </c>
      <c r="G172" s="1" t="str">
        <f>"negarestanabi"</f>
        <v>negarestanabi</v>
      </c>
      <c r="J172" s="1"/>
    </row>
    <row r="173" spans="1:10" x14ac:dyDescent="0.2">
      <c r="A173" s="1" t="str">
        <f>"A Students Manual for A First Course in General"</f>
        <v>A Students Manual for A First Course in General</v>
      </c>
      <c r="B173" s="1" t="str">
        <f>"9781107632677"</f>
        <v>9781107632677</v>
      </c>
      <c r="C173" s="1">
        <v>35.99</v>
      </c>
      <c r="D173" s="1" t="str">
        <f>"USD"</f>
        <v>USD</v>
      </c>
      <c r="E173" s="1" t="str">
        <f>"2016"</f>
        <v>2016</v>
      </c>
      <c r="F173" s="1" t="str">
        <f>"scott"</f>
        <v>scott</v>
      </c>
      <c r="G173" s="1" t="str">
        <f>"dehkadehketab"</f>
        <v>dehkadehketab</v>
      </c>
      <c r="J173" s="1"/>
    </row>
    <row r="174" spans="1:10" x14ac:dyDescent="0.2">
      <c r="A174" s="1" t="str">
        <f>"A Textbook of Objective Electricity &amp; Magnetism, HB  "</f>
        <v xml:space="preserve">A Textbook of Objective Electricity &amp; Magnetism, HB  </v>
      </c>
      <c r="B174" s="1" t="str">
        <f>"9789382006084"</f>
        <v>9789382006084</v>
      </c>
      <c r="C174" s="1">
        <v>24.92</v>
      </c>
      <c r="D174" s="1" t="str">
        <f>"USD"</f>
        <v>USD</v>
      </c>
      <c r="E174" s="1" t="str">
        <f>"2013"</f>
        <v>2013</v>
      </c>
      <c r="F174" s="1" t="str">
        <f>"Simon"</f>
        <v>Simon</v>
      </c>
      <c r="G174" s="1" t="str">
        <f>"supply"</f>
        <v>supply</v>
      </c>
      <c r="J174" s="1"/>
    </row>
    <row r="175" spans="1:10" x14ac:dyDescent="0.2">
      <c r="A175" s="1" t="str">
        <f>"A TEXTBOOK OF QUANTUM PHYSICS, HB  "</f>
        <v xml:space="preserve">A TEXTBOOK OF QUANTUM PHYSICS, HB  </v>
      </c>
      <c r="B175" s="1" t="str">
        <f>"9789381052235"</f>
        <v>9789381052235</v>
      </c>
      <c r="C175" s="1">
        <v>22.05</v>
      </c>
      <c r="D175" s="1" t="str">
        <f>"USD"</f>
        <v>USD</v>
      </c>
      <c r="E175" s="1" t="str">
        <f>"2012"</f>
        <v>2012</v>
      </c>
      <c r="F175" s="1" t="str">
        <f>"Mathur"</f>
        <v>Mathur</v>
      </c>
      <c r="G175" s="1" t="str">
        <f>"supply"</f>
        <v>supply</v>
      </c>
      <c r="J175" s="1"/>
    </row>
    <row r="176" spans="1:10" x14ac:dyDescent="0.2">
      <c r="A176" s="1" t="str">
        <f>"Acoustic Microscopy:Fundamentals and Applications"</f>
        <v>Acoustic Microscopy:Fundamentals and Applications</v>
      </c>
      <c r="B176" s="1" t="str">
        <f>"9783527407446"</f>
        <v>9783527407446</v>
      </c>
      <c r="C176" s="1">
        <v>114</v>
      </c>
      <c r="D176" s="1" t="str">
        <f>"USD"</f>
        <v>USD</v>
      </c>
      <c r="E176" s="1" t="str">
        <f>"2008"</f>
        <v>2008</v>
      </c>
      <c r="F176" s="1" t="str">
        <f>"Maev"</f>
        <v>Maev</v>
      </c>
      <c r="G176" s="1" t="str">
        <f>"safirketab"</f>
        <v>safirketab</v>
      </c>
      <c r="J176" s="1"/>
    </row>
    <row r="177" spans="1:10" x14ac:dyDescent="0.2">
      <c r="A177" s="1" t="str">
        <f>"Advanced Applications of Supercritical Fluids in Energy Systems"</f>
        <v>Advanced Applications of Supercritical Fluids in Energy Systems</v>
      </c>
      <c r="B177" s="1" t="str">
        <f>"9781522520474"</f>
        <v>9781522520474</v>
      </c>
      <c r="C177" s="1">
        <v>176.3</v>
      </c>
      <c r="D177" s="1" t="str">
        <f>"USD"</f>
        <v>USD</v>
      </c>
      <c r="E177" s="1" t="str">
        <f>"2017"</f>
        <v>2017</v>
      </c>
      <c r="F177" s="1" t="str">
        <f>"Lin Chen &amp; Yuhiro Iw"</f>
        <v>Lin Chen &amp; Yuhiro Iw</v>
      </c>
      <c r="G177" s="1" t="str">
        <f>"arzinbooks"</f>
        <v>arzinbooks</v>
      </c>
      <c r="J177" s="1"/>
    </row>
    <row r="178" spans="1:10" x14ac:dyDescent="0.2">
      <c r="A178" s="1" t="str">
        <f>"Advanced Classical Mechanics"</f>
        <v>Advanced Classical Mechanics</v>
      </c>
      <c r="B178" s="1" t="str">
        <f>"9781498748117"</f>
        <v>9781498748117</v>
      </c>
      <c r="C178" s="1">
        <v>90</v>
      </c>
      <c r="D178" s="1" t="str">
        <f>"GBP"</f>
        <v>GBP</v>
      </c>
      <c r="E178" s="1" t="str">
        <f>"2017"</f>
        <v>2017</v>
      </c>
      <c r="F178" s="1" t="str">
        <f>"Bagchi"</f>
        <v>Bagchi</v>
      </c>
      <c r="G178" s="1" t="str">
        <f>"sal"</f>
        <v>sal</v>
      </c>
      <c r="J178" s="1"/>
    </row>
    <row r="179" spans="1:10" x14ac:dyDescent="0.2">
      <c r="A179" s="1" t="str">
        <f>"Advanced Experimental Methods for Noise Research in Nanoscale Electronic Devices"</f>
        <v>Advanced Experimental Methods for Noise Research in Nanoscale Electronic Devices</v>
      </c>
      <c r="B179" s="1" t="str">
        <f>"9781402021695"</f>
        <v>9781402021695</v>
      </c>
      <c r="C179" s="1">
        <v>67.989999999999995</v>
      </c>
      <c r="D179" s="1" t="str">
        <f>"USD"</f>
        <v>USD</v>
      </c>
      <c r="E179" s="1" t="str">
        <f>"2004"</f>
        <v>2004</v>
      </c>
      <c r="F179" s="1" t="str">
        <f>"Sikula,Josef(Eds.)"</f>
        <v>Sikula,Josef(Eds.)</v>
      </c>
      <c r="G179" s="1" t="str">
        <f>"safirketab"</f>
        <v>safirketab</v>
      </c>
      <c r="J179" s="1"/>
    </row>
    <row r="180" spans="1:10" x14ac:dyDescent="0.2">
      <c r="A180" s="1" t="str">
        <f>"Advanced MR Neuroimaging: From Theory to Clinical Practice (Series in Medical Physics and Biomedical Engineering)"</f>
        <v>Advanced MR Neuroimaging: From Theory to Clinical Practice (Series in Medical Physics and Biomedical Engineering)</v>
      </c>
      <c r="B180" s="1" t="str">
        <f>"9781498755238"</f>
        <v>9781498755238</v>
      </c>
      <c r="C180" s="1">
        <v>103.5</v>
      </c>
      <c r="D180" s="1" t="str">
        <f>"GBP"</f>
        <v>GBP</v>
      </c>
      <c r="E180" s="1" t="str">
        <f>"2018"</f>
        <v>2018</v>
      </c>
      <c r="F180" s="1" t="str">
        <f>"Tsougos"</f>
        <v>Tsougos</v>
      </c>
      <c r="G180" s="1" t="str">
        <f>"sal"</f>
        <v>sal</v>
      </c>
      <c r="J180" s="1"/>
    </row>
    <row r="181" spans="1:10" x14ac:dyDescent="0.2">
      <c r="A181" s="1" t="str">
        <f>"Advanced Multipoles for Accelerator Magnets: Theoretical Analysis and Their Measurement"</f>
        <v>Advanced Multipoles for Accelerator Magnets: Theoretical Analysis and Their Measurement</v>
      </c>
      <c r="B181" s="1" t="str">
        <f>"9783319656656"</f>
        <v>9783319656656</v>
      </c>
      <c r="C181" s="1">
        <v>71.989999999999995</v>
      </c>
      <c r="D181" s="1" t="str">
        <f>"EUR"</f>
        <v>EUR</v>
      </c>
      <c r="E181" s="1" t="str">
        <f>"2017"</f>
        <v>2017</v>
      </c>
      <c r="F181" s="1" t="str">
        <f>"Schnizer"</f>
        <v>Schnizer</v>
      </c>
      <c r="G181" s="1" t="str">
        <f>"negarestanabi"</f>
        <v>negarestanabi</v>
      </c>
      <c r="J181" s="1"/>
    </row>
    <row r="182" spans="1:10" x14ac:dyDescent="0.2">
      <c r="A182" s="1" t="str">
        <f>"ADVANCED NONLINEAR OPTICS"</f>
        <v>ADVANCED NONLINEAR OPTICS</v>
      </c>
      <c r="B182" s="1" t="str">
        <f>"9789813223042"</f>
        <v>9789813223042</v>
      </c>
      <c r="C182" s="1">
        <v>101.7</v>
      </c>
      <c r="D182" s="1" t="str">
        <f>"GBP"</f>
        <v>GBP</v>
      </c>
      <c r="E182" s="1" t="str">
        <f>"2018"</f>
        <v>2018</v>
      </c>
      <c r="F182" s="1" t="str">
        <f>"HE GUANG S ET AL"</f>
        <v>HE GUANG S ET AL</v>
      </c>
      <c r="G182" s="1" t="str">
        <f>"AsarBartar"</f>
        <v>AsarBartar</v>
      </c>
      <c r="J182" s="1"/>
    </row>
    <row r="183" spans="1:10" x14ac:dyDescent="0.2">
      <c r="A183" s="1" t="str">
        <f>"Advanced Oxidation Processes for Wastewater Treatment, Emerging Green Chemical Technology"</f>
        <v>Advanced Oxidation Processes for Wastewater Treatment, Emerging Green Chemical Technology</v>
      </c>
      <c r="B183" s="1" t="str">
        <f>"9780128104934"</f>
        <v>9780128104934</v>
      </c>
      <c r="C183" s="1">
        <v>135</v>
      </c>
      <c r="D183" s="1" t="str">
        <f>"USD"</f>
        <v>USD</v>
      </c>
      <c r="E183" s="1" t="str">
        <f>"2018"</f>
        <v>2018</v>
      </c>
      <c r="F183" s="1" t="str">
        <f>"Ameta and Ameta"</f>
        <v>Ameta and Ameta</v>
      </c>
      <c r="G183" s="1" t="str">
        <f>"dehkadehketab"</f>
        <v>dehkadehketab</v>
      </c>
      <c r="J183" s="1"/>
    </row>
    <row r="184" spans="1:10" x14ac:dyDescent="0.2">
      <c r="A184" s="1" t="str">
        <f>"Advanced Quantum Mechanics: Materials and Photons. 2/ed"</f>
        <v>Advanced Quantum Mechanics: Materials and Photons. 2/ed</v>
      </c>
      <c r="B184" s="1" t="str">
        <f>"9783319256740"</f>
        <v>9783319256740</v>
      </c>
      <c r="C184" s="1">
        <v>62.99</v>
      </c>
      <c r="D184" s="1" t="str">
        <f>"EUR"</f>
        <v>EUR</v>
      </c>
      <c r="E184" s="1" t="str">
        <f>"2016"</f>
        <v>2016</v>
      </c>
      <c r="F184" s="1" t="str">
        <f>"DICK"</f>
        <v>DICK</v>
      </c>
      <c r="G184" s="1" t="str">
        <f>"negarestanabi"</f>
        <v>negarestanabi</v>
      </c>
      <c r="J184" s="1"/>
    </row>
    <row r="185" spans="1:10" x14ac:dyDescent="0.2">
      <c r="A185" s="1" t="str">
        <f>"Advanced Quantum Mechanics: The Classical-Quantum Connection"</f>
        <v>Advanced Quantum Mechanics: The Classical-Quantum Connection</v>
      </c>
      <c r="B185" s="1" t="str">
        <f>"9781934015520"</f>
        <v>9781934015520</v>
      </c>
      <c r="C185" s="1">
        <v>21</v>
      </c>
      <c r="D185" s="1" t="str">
        <f>"USD"</f>
        <v>USD</v>
      </c>
      <c r="E185" s="1" t="str">
        <f>"2011"</f>
        <v>2011</v>
      </c>
      <c r="F185" s="1" t="str">
        <f>"Blumel"</f>
        <v>Blumel</v>
      </c>
      <c r="G185" s="1" t="str">
        <f>"kowkab"</f>
        <v>kowkab</v>
      </c>
      <c r="J185" s="1"/>
    </row>
    <row r="186" spans="1:10" x14ac:dyDescent="0.2">
      <c r="A186" s="1" t="str">
        <f>"Advanced Undergraduate Quantum Mechanics: Methods and Applications"</f>
        <v>Advanced Undergraduate Quantum Mechanics: Methods and Applications</v>
      </c>
      <c r="B186" s="1" t="str">
        <f>"9783319715490"</f>
        <v>9783319715490</v>
      </c>
      <c r="C186" s="1">
        <v>71.989999999999995</v>
      </c>
      <c r="D186" s="1" t="str">
        <f>"EUR"</f>
        <v>EUR</v>
      </c>
      <c r="E186" s="1" t="str">
        <f>"2018"</f>
        <v>2018</v>
      </c>
      <c r="F186" s="1" t="str">
        <f>"Deych"</f>
        <v>Deych</v>
      </c>
      <c r="G186" s="1" t="str">
        <f>"negarestanabi"</f>
        <v>negarestanabi</v>
      </c>
      <c r="J186" s="1"/>
    </row>
    <row r="187" spans="1:10" x14ac:dyDescent="0.2">
      <c r="A187" s="1" t="str">
        <f>"Advances in Algebraic Quantum Field Theory"</f>
        <v>Advances in Algebraic Quantum Field Theory</v>
      </c>
      <c r="B187" s="1" t="str">
        <f>"9783319213521"</f>
        <v>9783319213521</v>
      </c>
      <c r="C187" s="1">
        <v>85.49</v>
      </c>
      <c r="D187" s="1" t="str">
        <f>"EUR"</f>
        <v>EUR</v>
      </c>
      <c r="E187" s="1" t="str">
        <f>"2015"</f>
        <v>2015</v>
      </c>
      <c r="F187" s="1" t="str">
        <f>"Brunetti"</f>
        <v>Brunetti</v>
      </c>
      <c r="G187" s="1" t="str">
        <f>"negarestanabi"</f>
        <v>negarestanabi</v>
      </c>
      <c r="J187" s="1"/>
    </row>
    <row r="188" spans="1:10" x14ac:dyDescent="0.2">
      <c r="A188" s="1" t="str">
        <f>"Advances in Astronomy: From the Big Bang to the Solar System (Royal Society Series on Advances in Science)"</f>
        <v>Advances in Astronomy: From the Big Bang to the Solar System (Royal Society Series on Advances in Science)</v>
      </c>
      <c r="B188" s="1" t="str">
        <f>"9781860945779"</f>
        <v>9781860945779</v>
      </c>
      <c r="C188" s="1">
        <v>117.06</v>
      </c>
      <c r="D188" s="1" t="str">
        <f>"USD"</f>
        <v>USD</v>
      </c>
      <c r="E188" s="1" t="str">
        <f>"2005"</f>
        <v>2005</v>
      </c>
      <c r="F188" s="1" t="str">
        <f>"J. M. T. Thompson"</f>
        <v>J. M. T. Thompson</v>
      </c>
      <c r="G188" s="1" t="str">
        <f>"kowkab"</f>
        <v>kowkab</v>
      </c>
      <c r="J188" s="1"/>
    </row>
    <row r="189" spans="1:10" x14ac:dyDescent="0.2">
      <c r="A189" s="1" t="str">
        <f>"Advances in Atomic, Molecular, and Optical Physics, Volume66"</f>
        <v>Advances in Atomic, Molecular, and Optical Physics, Volume66</v>
      </c>
      <c r="B189" s="1" t="str">
        <f>"9780128120750"</f>
        <v>9780128120750</v>
      </c>
      <c r="C189" s="1">
        <v>215.1</v>
      </c>
      <c r="D189" s="1" t="str">
        <f>"USD"</f>
        <v>USD</v>
      </c>
      <c r="E189" s="1" t="str">
        <f>"2017"</f>
        <v>2017</v>
      </c>
      <c r="F189" s="1" t="str">
        <f>"Yelin et al"</f>
        <v>Yelin et al</v>
      </c>
      <c r="G189" s="1" t="str">
        <f>"dehkadehketab"</f>
        <v>dehkadehketab</v>
      </c>
      <c r="J189" s="1"/>
    </row>
    <row r="190" spans="1:10" x14ac:dyDescent="0.2">
      <c r="A190" s="1" t="str">
        <f>"Advances in Biological Solid-State NMR: Proteins and Membrane-Active Peptides (New Developments in NMR)"</f>
        <v>Advances in Biological Solid-State NMR: Proteins and Membrane-Active Peptides (New Developments in NMR)</v>
      </c>
      <c r="B190" s="1" t="str">
        <f>"9781849739108"</f>
        <v>9781849739108</v>
      </c>
      <c r="C190" s="1">
        <v>96.3</v>
      </c>
      <c r="D190" s="1" t="str">
        <f>"GBP"</f>
        <v>GBP</v>
      </c>
      <c r="E190" s="1" t="str">
        <f>"2014"</f>
        <v>2014</v>
      </c>
      <c r="F190" s="1" t="str">
        <f>"FRANCES SEPAROVIC(ED"</f>
        <v>FRANCES SEPAROVIC(ED</v>
      </c>
      <c r="G190" s="1" t="str">
        <f>"arzinbooks"</f>
        <v>arzinbooks</v>
      </c>
      <c r="J190" s="1"/>
    </row>
    <row r="191" spans="1:10" x14ac:dyDescent="0.2">
      <c r="A191" s="1" t="str">
        <f>"Advances in Ceramic Armor XI"</f>
        <v>Advances in Ceramic Armor XI</v>
      </c>
      <c r="B191" s="1" t="str">
        <f>"9781119211532"</f>
        <v>9781119211532</v>
      </c>
      <c r="C191" s="1">
        <v>170</v>
      </c>
      <c r="D191" s="1" t="str">
        <f>"USD"</f>
        <v>USD</v>
      </c>
      <c r="E191" s="1" t="str">
        <f>"2016"</f>
        <v>2016</v>
      </c>
      <c r="F191" s="1" t="str">
        <f>"LaSalvia"</f>
        <v>LaSalvia</v>
      </c>
      <c r="G191" s="1" t="str">
        <f>"avanddanesh"</f>
        <v>avanddanesh</v>
      </c>
      <c r="J191" s="1"/>
    </row>
    <row r="192" spans="1:10" x14ac:dyDescent="0.2">
      <c r="A192" s="1" t="str">
        <f>"Advances in Chemical Physics, V156"</f>
        <v>Advances in Chemical Physics, V156</v>
      </c>
      <c r="B192" s="1" t="str">
        <f>"9781118949696"</f>
        <v>9781118949696</v>
      </c>
      <c r="C192" s="1">
        <v>160</v>
      </c>
      <c r="D192" s="1" t="str">
        <f>"USD"</f>
        <v>USD</v>
      </c>
      <c r="E192" s="1" t="str">
        <f>"2015"</f>
        <v>2015</v>
      </c>
      <c r="F192" s="1" t="str">
        <f>"Rice"</f>
        <v>Rice</v>
      </c>
      <c r="G192" s="1" t="str">
        <f>"avanddanesh"</f>
        <v>avanddanesh</v>
      </c>
      <c r="J192" s="1"/>
    </row>
    <row r="193" spans="1:10" x14ac:dyDescent="0.2">
      <c r="A193" s="1" t="str">
        <f>"Advances in Chemical Physics, V162"</f>
        <v>Advances in Chemical Physics, V162</v>
      </c>
      <c r="B193" s="1" t="str">
        <f>"9781119324577"</f>
        <v>9781119324577</v>
      </c>
      <c r="C193" s="1">
        <v>265.5</v>
      </c>
      <c r="D193" s="1" t="str">
        <f>"USD"</f>
        <v>USD</v>
      </c>
      <c r="E193" s="1" t="str">
        <f>"2018"</f>
        <v>2018</v>
      </c>
      <c r="F193" s="1" t="str">
        <f>"Rice"</f>
        <v>Rice</v>
      </c>
      <c r="G193" s="1" t="str">
        <f>"avanddanesh"</f>
        <v>avanddanesh</v>
      </c>
      <c r="J193" s="1"/>
    </row>
    <row r="194" spans="1:10" x14ac:dyDescent="0.2">
      <c r="A194" s="1" t="str">
        <f>"Advances in Heat Pump-Assisted Drying Technology (Advances in Drying Science and Technology)"</f>
        <v>Advances in Heat Pump-Assisted Drying Technology (Advances in Drying Science and Technology)</v>
      </c>
      <c r="B194" s="1" t="str">
        <f>"9781498734998"</f>
        <v>9781498734998</v>
      </c>
      <c r="C194" s="1">
        <v>102.85</v>
      </c>
      <c r="D194" s="1" t="str">
        <f>"GBP"</f>
        <v>GBP</v>
      </c>
      <c r="E194" s="1" t="str">
        <f>"2016"</f>
        <v>2016</v>
      </c>
      <c r="F194" s="1" t="str">
        <f>"Vasile Minea(Editor"</f>
        <v>Vasile Minea(Editor</v>
      </c>
      <c r="G194" s="1" t="str">
        <f>"AsarBartar"</f>
        <v>AsarBartar</v>
      </c>
      <c r="J194" s="1"/>
    </row>
    <row r="195" spans="1:10" x14ac:dyDescent="0.2">
      <c r="A195" s="1" t="str">
        <f>"Advances in Imaging and Electron Physics, Volume199"</f>
        <v>Advances in Imaging and Electron Physics, Volume199</v>
      </c>
      <c r="B195" s="1" t="str">
        <f>"9780128120910"</f>
        <v>9780128120910</v>
      </c>
      <c r="C195" s="1">
        <v>220.5</v>
      </c>
      <c r="D195" s="1" t="str">
        <f>"USD"</f>
        <v>USD</v>
      </c>
      <c r="E195" s="1" t="str">
        <f>"2017"</f>
        <v>2017</v>
      </c>
      <c r="F195" s="1" t="str">
        <f>"Hawkes"</f>
        <v>Hawkes</v>
      </c>
      <c r="G195" s="1" t="str">
        <f>"dehkadehketab"</f>
        <v>dehkadehketab</v>
      </c>
      <c r="J195" s="1"/>
    </row>
    <row r="196" spans="1:10" x14ac:dyDescent="0.2">
      <c r="A196" s="1" t="str">
        <f>"Advances in Imaging and Electron Physics, Volume200"</f>
        <v>Advances in Imaging and Electron Physics, Volume200</v>
      </c>
      <c r="B196" s="1" t="str">
        <f>"9780128120859"</f>
        <v>9780128120859</v>
      </c>
      <c r="C196" s="1">
        <v>220.5</v>
      </c>
      <c r="D196" s="1" t="str">
        <f>"USD"</f>
        <v>USD</v>
      </c>
      <c r="E196" s="1" t="str">
        <f>"2017"</f>
        <v>2017</v>
      </c>
      <c r="F196" s="1" t="str">
        <f>"Hawkes"</f>
        <v>Hawkes</v>
      </c>
      <c r="G196" s="1" t="str">
        <f>"dehkadehketab"</f>
        <v>dehkadehketab</v>
      </c>
      <c r="J196" s="1"/>
    </row>
    <row r="197" spans="1:10" x14ac:dyDescent="0.2">
      <c r="A197" s="1" t="str">
        <f>"Advances in Imaging and Electron Physics, Volume205"</f>
        <v>Advances in Imaging and Electron Physics, Volume205</v>
      </c>
      <c r="B197" s="1" t="str">
        <f>"9780128152126"</f>
        <v>9780128152126</v>
      </c>
      <c r="C197" s="1">
        <v>220.5</v>
      </c>
      <c r="D197" s="1" t="str">
        <f>"USD"</f>
        <v>USD</v>
      </c>
      <c r="E197" s="1" t="str">
        <f>"2018"</f>
        <v>2018</v>
      </c>
      <c r="F197" s="1" t="str">
        <f>"Hawkes"</f>
        <v>Hawkes</v>
      </c>
      <c r="G197" s="1" t="str">
        <f>"dehkadehketab"</f>
        <v>dehkadehketab</v>
      </c>
      <c r="J197" s="1"/>
    </row>
    <row r="198" spans="1:10" x14ac:dyDescent="0.2">
      <c r="A198" s="1" t="str">
        <f>"Advances in Power and Energy Engineering: Proceedings of the 8th Asia-Pacific Power and Energy Engineering Conference, Suzhou, China, April 15-17, 20"</f>
        <v>Advances in Power and Energy Engineering: Proceedings of the 8th Asia-Pacific Power and Energy Engineering Conference, Suzhou, China, April 15-17, 20</v>
      </c>
      <c r="B198" s="1" t="str">
        <f>"9781138028463"</f>
        <v>9781138028463</v>
      </c>
      <c r="C198" s="1">
        <v>124.1</v>
      </c>
      <c r="D198" s="1" t="str">
        <f>"GBP"</f>
        <v>GBP</v>
      </c>
      <c r="E198" s="1" t="str">
        <f>"2016"</f>
        <v>2016</v>
      </c>
      <c r="F198" s="1" t="str">
        <f>"Yuanzhang Sun(Edito"</f>
        <v>Yuanzhang Sun(Edito</v>
      </c>
      <c r="G198" s="1" t="str">
        <f>"AsarBartar"</f>
        <v>AsarBartar</v>
      </c>
      <c r="J198" s="1"/>
    </row>
    <row r="199" spans="1:10" x14ac:dyDescent="0.2">
      <c r="A199" s="1" t="str">
        <f>"ADVANCES IN THE COMPUTATIONAL SCIENCES - PROCEEDINGS OF THE SYMPOSIUM IN HONOR OF DR BERNI ALDER'S 90TH BIRTHDAY"</f>
        <v>ADVANCES IN THE COMPUTATIONAL SCIENCES - PROCEEDINGS OF THE SYMPOSIUM IN HONOR OF DR BERNI ALDER'S 90TH BIRTHDAY</v>
      </c>
      <c r="B199" s="1" t="str">
        <f>"9789813209411"</f>
        <v>9789813209411</v>
      </c>
      <c r="C199" s="1">
        <v>95.4</v>
      </c>
      <c r="D199" s="1" t="str">
        <f>"GBP"</f>
        <v>GBP</v>
      </c>
      <c r="E199" s="1" t="str">
        <f>"2017"</f>
        <v>2017</v>
      </c>
      <c r="F199" s="1" t="str">
        <f>"SCHWEGLER ERIC ET A"</f>
        <v>SCHWEGLER ERIC ET A</v>
      </c>
      <c r="G199" s="1" t="str">
        <f>"AsarBartar"</f>
        <v>AsarBartar</v>
      </c>
      <c r="J199" s="1"/>
    </row>
    <row r="200" spans="1:10" x14ac:dyDescent="0.2">
      <c r="A200" s="1" t="str">
        <f>"Aerodynamics of Wind Turbines"</f>
        <v>Aerodynamics of Wind Turbines</v>
      </c>
      <c r="B200" s="1" t="str">
        <f>"9781138775077"</f>
        <v>9781138775077</v>
      </c>
      <c r="C200" s="1">
        <v>57.8</v>
      </c>
      <c r="D200" s="1" t="str">
        <f>"GBP"</f>
        <v>GBP</v>
      </c>
      <c r="E200" s="1" t="str">
        <f>"2015"</f>
        <v>2015</v>
      </c>
      <c r="F200" s="1" t="str">
        <f>"Martin O. L. Hansen"</f>
        <v>Martin O. L. Hansen</v>
      </c>
      <c r="G200" s="1" t="str">
        <f>"AsarBartar"</f>
        <v>AsarBartar</v>
      </c>
      <c r="J200" s="1"/>
    </row>
    <row r="201" spans="1:10" x14ac:dyDescent="0.2">
      <c r="A201" s="1" t="str">
        <f>"AIRBORNE AND TERRESTRIAL LASER SCANNING, HB"</f>
        <v>AIRBORNE AND TERRESTRIAL LASER SCANNING, HB</v>
      </c>
      <c r="B201" s="1" t="str">
        <f>"9781439827987"</f>
        <v>9781439827987</v>
      </c>
      <c r="C201" s="1">
        <v>56</v>
      </c>
      <c r="D201" s="1" t="str">
        <f>"GBP"</f>
        <v>GBP</v>
      </c>
      <c r="E201" s="1" t="str">
        <f>"2013"</f>
        <v>2013</v>
      </c>
      <c r="F201" s="1" t="str">
        <f>"George Vosselman"</f>
        <v>George Vosselman</v>
      </c>
      <c r="G201" s="1" t="str">
        <f>"supply"</f>
        <v>supply</v>
      </c>
      <c r="J201" s="1"/>
    </row>
    <row r="202" spans="1:10" x14ac:dyDescent="0.2">
      <c r="A202" s="1" t="str">
        <f>"ALBERT EINSTEIN MEMORIAL LECTURES"</f>
        <v>ALBERT EINSTEIN MEMORIAL LECTURES</v>
      </c>
      <c r="B202" s="1" t="str">
        <f>"9789814329439"</f>
        <v>9789814329439</v>
      </c>
      <c r="C202" s="1">
        <v>16.8</v>
      </c>
      <c r="D202" s="1" t="str">
        <f>"GBP"</f>
        <v>GBP</v>
      </c>
      <c r="E202" s="1" t="str">
        <f>"2012"</f>
        <v>2012</v>
      </c>
      <c r="F202" s="1" t="str">
        <f>"MECHOULAM RAPHAEL &amp;"</f>
        <v>MECHOULAM RAPHAEL &amp;</v>
      </c>
      <c r="G202" s="1" t="str">
        <f>"AsarBartar"</f>
        <v>AsarBartar</v>
      </c>
      <c r="J202" s="1"/>
    </row>
    <row r="203" spans="1:10" x14ac:dyDescent="0.2">
      <c r="A203" s="1" t="str">
        <f>"Algorithms of Estimation for Nonlinear Systems: A Differential and Algebraic Viewpoint"</f>
        <v>Algorithms of Estimation for Nonlinear Systems: A Differential and Algebraic Viewpoint</v>
      </c>
      <c r="B203" s="1" t="str">
        <f>"9783319530390"</f>
        <v>9783319530390</v>
      </c>
      <c r="C203" s="1">
        <v>89.99</v>
      </c>
      <c r="D203" s="1" t="str">
        <f>"EUR"</f>
        <v>EUR</v>
      </c>
      <c r="E203" s="1" t="str">
        <f t="shared" ref="E203:E210" si="8">"2017"</f>
        <v>2017</v>
      </c>
      <c r="F203" s="1" t="str">
        <f>"MartÃ­nez-Guerra"</f>
        <v>MartÃ­nez-Guerra</v>
      </c>
      <c r="G203" s="1" t="str">
        <f>"negarestanabi"</f>
        <v>negarestanabi</v>
      </c>
      <c r="J203" s="1"/>
    </row>
    <row r="204" spans="1:10" x14ac:dyDescent="0.2">
      <c r="A204" s="1" t="str">
        <f>"Amorphous Semiconductors: Structural, Optical, and Electronic Properties"</f>
        <v>Amorphous Semiconductors: Structural, Optical, and Electronic Properties</v>
      </c>
      <c r="B204" s="1" t="str">
        <f>"9781118757925"</f>
        <v>9781118757925</v>
      </c>
      <c r="C204" s="1">
        <v>121.5</v>
      </c>
      <c r="D204" s="1" t="str">
        <f>"USD"</f>
        <v>USD</v>
      </c>
      <c r="E204" s="1" t="str">
        <f t="shared" si="8"/>
        <v>2017</v>
      </c>
      <c r="F204" s="1" t="str">
        <f>"Morigaki"</f>
        <v>Morigaki</v>
      </c>
      <c r="G204" s="1" t="str">
        <f>"avanddanesh"</f>
        <v>avanddanesh</v>
      </c>
      <c r="J204" s="1"/>
    </row>
    <row r="205" spans="1:10" x14ac:dyDescent="0.2">
      <c r="A205" s="1" t="str">
        <f>"Amperometric and Impedance Monitoring Systems for Biomedical Applications"</f>
        <v>Amperometric and Impedance Monitoring Systems for Biomedical Applications</v>
      </c>
      <c r="B205" s="1" t="str">
        <f>"9783319648002"</f>
        <v>9783319648002</v>
      </c>
      <c r="C205" s="1">
        <v>98.99</v>
      </c>
      <c r="D205" s="1" t="str">
        <f>"EUR"</f>
        <v>EUR</v>
      </c>
      <c r="E205" s="1" t="str">
        <f t="shared" si="8"/>
        <v>2017</v>
      </c>
      <c r="F205" s="1" t="str">
        <f>"Punter-Villagrasa"</f>
        <v>Punter-Villagrasa</v>
      </c>
      <c r="G205" s="1" t="str">
        <f>"negarestanabi"</f>
        <v>negarestanabi</v>
      </c>
      <c r="J205" s="1"/>
    </row>
    <row r="206" spans="1:10" x14ac:dyDescent="0.2">
      <c r="A206" s="1" t="str">
        <f>"An Introduction to Distributed Optical Fibre Sensors (Series in Fiber Optic Sensors)"</f>
        <v>An Introduction to Distributed Optical Fibre Sensors (Series in Fiber Optic Sensors)</v>
      </c>
      <c r="B206" s="1" t="str">
        <f>"9781138082694"</f>
        <v>9781138082694</v>
      </c>
      <c r="C206" s="1">
        <v>44.99</v>
      </c>
      <c r="D206" s="1" t="str">
        <f>"GBP"</f>
        <v>GBP</v>
      </c>
      <c r="E206" s="1" t="str">
        <f t="shared" si="8"/>
        <v>2017</v>
      </c>
      <c r="F206" s="1" t="str">
        <f>"Hartog"</f>
        <v>Hartog</v>
      </c>
      <c r="G206" s="1" t="str">
        <f>"sal"</f>
        <v>sal</v>
      </c>
      <c r="J206" s="1"/>
    </row>
    <row r="207" spans="1:10" x14ac:dyDescent="0.2">
      <c r="A207" s="1" t="str">
        <f>"An Introduction to Gauge Theories"</f>
        <v>An Introduction to Gauge Theories</v>
      </c>
      <c r="B207" s="1" t="str">
        <f>"9781498734516"</f>
        <v>9781498734516</v>
      </c>
      <c r="C207" s="1">
        <v>52.19</v>
      </c>
      <c r="D207" s="1" t="str">
        <f>"GBP"</f>
        <v>GBP</v>
      </c>
      <c r="E207" s="1" t="str">
        <f t="shared" si="8"/>
        <v>2017</v>
      </c>
      <c r="F207" s="1" t="str">
        <f>"CABIBBO"</f>
        <v>CABIBBO</v>
      </c>
      <c r="G207" s="1" t="str">
        <f>"sal"</f>
        <v>sal</v>
      </c>
      <c r="J207" s="1"/>
    </row>
    <row r="208" spans="1:10" x14ac:dyDescent="0.2">
      <c r="A208" s="1" t="str">
        <f>"An Introduction to Graphene and Carbon Nanotubes"</f>
        <v>An Introduction to Graphene and Carbon Nanotubes</v>
      </c>
      <c r="B208" s="1" t="str">
        <f>"9781498751797"</f>
        <v>9781498751797</v>
      </c>
      <c r="C208" s="1">
        <v>52.19</v>
      </c>
      <c r="D208" s="1" t="str">
        <f>"GBP"</f>
        <v>GBP</v>
      </c>
      <c r="E208" s="1" t="str">
        <f t="shared" si="8"/>
        <v>2017</v>
      </c>
      <c r="F208" s="1" t="str">
        <f>"PROCTOR"</f>
        <v>PROCTOR</v>
      </c>
      <c r="G208" s="1" t="str">
        <f>"sal"</f>
        <v>sal</v>
      </c>
      <c r="J208" s="1"/>
    </row>
    <row r="209" spans="1:10" x14ac:dyDescent="0.2">
      <c r="A209" s="1" t="str">
        <f>"An Introduction to Medical Physics"</f>
        <v>An Introduction to Medical Physics</v>
      </c>
      <c r="B209" s="1" t="str">
        <f>"9783319615387"</f>
        <v>9783319615387</v>
      </c>
      <c r="C209" s="1">
        <v>134.99</v>
      </c>
      <c r="D209" s="1" t="str">
        <f>"EUR"</f>
        <v>EUR</v>
      </c>
      <c r="E209" s="1" t="str">
        <f t="shared" si="8"/>
        <v>2017</v>
      </c>
      <c r="F209" s="1" t="str">
        <f>"Maqbool"</f>
        <v>Maqbool</v>
      </c>
      <c r="G209" s="1" t="str">
        <f>"negarestanabi"</f>
        <v>negarestanabi</v>
      </c>
      <c r="J209" s="1"/>
    </row>
    <row r="210" spans="1:10" x14ac:dyDescent="0.2">
      <c r="A210" s="1" t="str">
        <f>"An Introduction to Modern Astrophysics"</f>
        <v>An Introduction to Modern Astrophysics</v>
      </c>
      <c r="B210" s="1" t="str">
        <f>"9781108422161"</f>
        <v>9781108422161</v>
      </c>
      <c r="C210" s="1">
        <v>63.8</v>
      </c>
      <c r="D210" s="1" t="str">
        <f>"GBP"</f>
        <v>GBP</v>
      </c>
      <c r="E210" s="1" t="str">
        <f t="shared" si="8"/>
        <v>2017</v>
      </c>
      <c r="F210" s="1" t="str">
        <f>"Carroll"</f>
        <v>Carroll</v>
      </c>
      <c r="G210" s="1" t="str">
        <f>"arzinbooks"</f>
        <v>arzinbooks</v>
      </c>
      <c r="J210" s="1"/>
    </row>
    <row r="211" spans="1:10" x14ac:dyDescent="0.2">
      <c r="A211" s="1" t="str">
        <f>"An Introduction to Nuclear Physics"</f>
        <v>An Introduction to Nuclear Physics</v>
      </c>
      <c r="B211" s="1" t="str">
        <f>"9781316509586"</f>
        <v>9781316509586</v>
      </c>
      <c r="C211" s="1">
        <v>35.99</v>
      </c>
      <c r="D211" s="1" t="str">
        <f>"USD"</f>
        <v>USD</v>
      </c>
      <c r="E211" s="1" t="str">
        <f>"2016"</f>
        <v>2016</v>
      </c>
      <c r="F211" s="1" t="str">
        <f>"feather"</f>
        <v>feather</v>
      </c>
      <c r="G211" s="1" t="str">
        <f>"dehkadehketab"</f>
        <v>dehkadehketab</v>
      </c>
      <c r="J211" s="1"/>
    </row>
    <row r="212" spans="1:10" x14ac:dyDescent="0.2">
      <c r="A212" s="1" t="str">
        <f>"An Introduction to Nuclear Waste Immobilisation, 2nd Edition"</f>
        <v>An Introduction to Nuclear Waste Immobilisation, 2nd Edition</v>
      </c>
      <c r="B212" s="1" t="str">
        <f>"9780081013625"</f>
        <v>9780081013625</v>
      </c>
      <c r="C212" s="1">
        <v>202.5</v>
      </c>
      <c r="D212" s="1" t="str">
        <f>"USD"</f>
        <v>USD</v>
      </c>
      <c r="E212" s="1" t="str">
        <f>"2017"</f>
        <v>2017</v>
      </c>
      <c r="F212" s="1" t="str">
        <f>"Ojovan and Lee"</f>
        <v>Ojovan and Lee</v>
      </c>
      <c r="G212" s="1" t="str">
        <f>"dehkadehketab"</f>
        <v>dehkadehketab</v>
      </c>
      <c r="J212" s="1"/>
    </row>
    <row r="213" spans="1:10" x14ac:dyDescent="0.2">
      <c r="A213" s="1" t="str">
        <f>"AN INTRODUCTION TO PHYSICAL SCIENCE, INTERNATIONAL EDITION"</f>
        <v>AN INTRODUCTION TO PHYSICAL SCIENCE, INTERNATIONAL EDITION</v>
      </c>
      <c r="B213" s="1" t="str">
        <f>"9781133109341"</f>
        <v>9781133109341</v>
      </c>
      <c r="C213" s="1">
        <v>15.29</v>
      </c>
      <c r="D213" s="1" t="str">
        <f>"GBP"</f>
        <v>GBP</v>
      </c>
      <c r="E213" s="1" t="str">
        <f>"2013"</f>
        <v>2013</v>
      </c>
      <c r="F213" s="1" t="str">
        <f>"SHIPMAN/WILSON/HIGG"</f>
        <v>SHIPMAN/WILSON/HIGG</v>
      </c>
      <c r="G213" s="1" t="str">
        <f>"AsarBartar"</f>
        <v>AsarBartar</v>
      </c>
      <c r="J213" s="1"/>
    </row>
    <row r="214" spans="1:10" x14ac:dyDescent="0.2">
      <c r="A214" s="1" t="str">
        <f>"An Introduction to Quantum Fluids"</f>
        <v>An Introduction to Quantum Fluids</v>
      </c>
      <c r="B214" s="1" t="str">
        <f>"9781498721639"</f>
        <v>9781498721639</v>
      </c>
      <c r="C214" s="1">
        <v>48.59</v>
      </c>
      <c r="D214" s="1" t="str">
        <f>"GBP"</f>
        <v>GBP</v>
      </c>
      <c r="E214" s="1" t="str">
        <f>"2017"</f>
        <v>2017</v>
      </c>
      <c r="F214" s="1" t="str">
        <f>"DINH"</f>
        <v>DINH</v>
      </c>
      <c r="G214" s="1" t="str">
        <f>"sal"</f>
        <v>sal</v>
      </c>
      <c r="J214" s="1"/>
    </row>
    <row r="215" spans="1:10" x14ac:dyDescent="0.2">
      <c r="A215" s="1" t="str">
        <f>"An Introduction to Single Molecule Biophysics (Foundations of Biochemistry and Biophysics)"</f>
        <v>An Introduction to Single Molecule Biophysics (Foundations of Biochemistry and Biophysics)</v>
      </c>
      <c r="B215" s="1" t="str">
        <f>"9781439806944"</f>
        <v>9781439806944</v>
      </c>
      <c r="C215" s="1">
        <v>89.99</v>
      </c>
      <c r="D215" s="1" t="str">
        <f>"GBP"</f>
        <v>GBP</v>
      </c>
      <c r="E215" s="1" t="str">
        <f>"2017"</f>
        <v>2017</v>
      </c>
      <c r="F215" s="1" t="str">
        <f>"Lyubchenko"</f>
        <v>Lyubchenko</v>
      </c>
      <c r="G215" s="1" t="str">
        <f>"sal"</f>
        <v>sal</v>
      </c>
      <c r="J215" s="1"/>
    </row>
    <row r="216" spans="1:10" x14ac:dyDescent="0.2">
      <c r="A216" s="1" t="str">
        <f>"An Introduction to Thermodynamics and Statistical Physics"</f>
        <v>An Introduction to Thermodynamics and Statistical Physics</v>
      </c>
      <c r="B216" s="1" t="str">
        <f>"9783319061870"</f>
        <v>9783319061870</v>
      </c>
      <c r="C216" s="1">
        <v>44.99</v>
      </c>
      <c r="D216" s="1" t="str">
        <f>"EUR"</f>
        <v>EUR</v>
      </c>
      <c r="E216" s="1" t="str">
        <f>"2015"</f>
        <v>2015</v>
      </c>
      <c r="F216" s="1" t="str">
        <f>"Olla"</f>
        <v>Olla</v>
      </c>
      <c r="G216" s="1" t="str">
        <f>"negarestanabi"</f>
        <v>negarestanabi</v>
      </c>
      <c r="J216" s="1"/>
    </row>
    <row r="217" spans="1:10" x14ac:dyDescent="0.2">
      <c r="A217" s="1" t="str">
        <f>"Analytical Mechanics"</f>
        <v>Analytical Mechanics</v>
      </c>
      <c r="B217" s="1" t="str">
        <f>"9783319444901"</f>
        <v>9783319444901</v>
      </c>
      <c r="C217" s="1">
        <v>53.99</v>
      </c>
      <c r="D217" s="1" t="str">
        <f>"EUR"</f>
        <v>EUR</v>
      </c>
      <c r="E217" s="1" t="str">
        <f>"2017"</f>
        <v>2017</v>
      </c>
      <c r="F217" s="1" t="str">
        <f>"Helrich"</f>
        <v>Helrich</v>
      </c>
      <c r="G217" s="1" t="str">
        <f>"negarestanabi"</f>
        <v>negarestanabi</v>
      </c>
      <c r="J217" s="1"/>
    </row>
    <row r="218" spans="1:10" x14ac:dyDescent="0.2">
      <c r="A218" s="1" t="str">
        <f>"Analytical Methods for Nonproliferation"</f>
        <v>Analytical Methods for Nonproliferation</v>
      </c>
      <c r="B218" s="1" t="str">
        <f>"9783319297293"</f>
        <v>9783319297293</v>
      </c>
      <c r="C218" s="1">
        <v>107.99</v>
      </c>
      <c r="D218" s="1" t="str">
        <f>"EUR"</f>
        <v>EUR</v>
      </c>
      <c r="E218" s="1" t="str">
        <f>"2016"</f>
        <v>2016</v>
      </c>
      <c r="F218" s="1" t="str">
        <f>"Morse"</f>
        <v>Morse</v>
      </c>
      <c r="G218" s="1" t="str">
        <f>"negarestanabi"</f>
        <v>negarestanabi</v>
      </c>
      <c r="J218" s="1"/>
    </row>
    <row r="219" spans="1:10" x14ac:dyDescent="0.2">
      <c r="A219" s="1" t="str">
        <f>"ANNUAL REVIEW OF COLD ATOMS AND MOLECULES, VOLUME 1"</f>
        <v>ANNUAL REVIEW OF COLD ATOMS AND MOLECULES, VOLUME 1</v>
      </c>
      <c r="B219" s="1" t="str">
        <f>"9789814440394"</f>
        <v>9789814440394</v>
      </c>
      <c r="C219" s="1">
        <v>48.6</v>
      </c>
      <c r="D219" s="1" t="str">
        <f>"GBP"</f>
        <v>GBP</v>
      </c>
      <c r="E219" s="1" t="str">
        <f>"2013"</f>
        <v>2013</v>
      </c>
      <c r="F219" s="1" t="str">
        <f>"MADISON KIRK ET AL"</f>
        <v>MADISON KIRK ET AL</v>
      </c>
      <c r="G219" s="1" t="str">
        <f>"AsarBartar"</f>
        <v>AsarBartar</v>
      </c>
      <c r="J219" s="1"/>
    </row>
    <row r="220" spans="1:10" x14ac:dyDescent="0.2">
      <c r="A220" s="1" t="str">
        <f>"Anomalous Effects in Simple Metals"</f>
        <v>Anomalous Effects in Simple Metals</v>
      </c>
      <c r="B220" s="1" t="str">
        <f>"9783527408597"</f>
        <v>9783527408597</v>
      </c>
      <c r="C220" s="1">
        <v>207.9</v>
      </c>
      <c r="D220" s="1" t="str">
        <f>"USD"</f>
        <v>USD</v>
      </c>
      <c r="E220" s="1" t="str">
        <f>"2010"</f>
        <v>2010</v>
      </c>
      <c r="F220" s="1" t="str">
        <f>"Overhauser"</f>
        <v>Overhauser</v>
      </c>
      <c r="G220" s="1" t="str">
        <f>"safirketab"</f>
        <v>safirketab</v>
      </c>
      <c r="J220" s="1"/>
    </row>
    <row r="221" spans="1:10" x14ac:dyDescent="0.2">
      <c r="A221" s="1" t="str">
        <f>"Anomaly! Collider Physics and the Quest for New Phenomena at Fermilab"</f>
        <v>Anomaly! Collider Physics and the Quest for New Phenomena at Fermilab</v>
      </c>
      <c r="B221" s="1" t="str">
        <f>"9781786341112"</f>
        <v>9781786341112</v>
      </c>
      <c r="C221" s="1">
        <v>34</v>
      </c>
      <c r="D221" s="1" t="str">
        <f>"GBP"</f>
        <v>GBP</v>
      </c>
      <c r="E221" s="1" t="str">
        <f>"2016"</f>
        <v>2016</v>
      </c>
      <c r="F221" s="1" t="str">
        <f>"Tommaso Dorigo"</f>
        <v>Tommaso Dorigo</v>
      </c>
      <c r="G221" s="1" t="str">
        <f>"AsarBartar"</f>
        <v>AsarBartar</v>
      </c>
      <c r="J221" s="1"/>
    </row>
    <row r="222" spans="1:10" x14ac:dyDescent="0.2">
      <c r="A222" s="1" t="str">
        <f>"Application of Infrared Thermography in Sports Science"</f>
        <v>Application of Infrared Thermography in Sports Science</v>
      </c>
      <c r="B222" s="1" t="str">
        <f>"9783319474090"</f>
        <v>9783319474090</v>
      </c>
      <c r="C222" s="1">
        <v>107.99</v>
      </c>
      <c r="D222" s="1" t="str">
        <f>"EUR"</f>
        <v>EUR</v>
      </c>
      <c r="E222" s="1" t="str">
        <f>"2017"</f>
        <v>2017</v>
      </c>
      <c r="F222" s="1" t="str">
        <f>"Priego Quesada"</f>
        <v>Priego Quesada</v>
      </c>
      <c r="G222" s="1" t="str">
        <f>"negarestanabi"</f>
        <v>negarestanabi</v>
      </c>
      <c r="J222" s="1"/>
    </row>
    <row r="223" spans="1:10" x14ac:dyDescent="0.2">
      <c r="A223" s="1" t="str">
        <f>"Application of New Cybernetics in Physics"</f>
        <v>Application of New Cybernetics in Physics</v>
      </c>
      <c r="B223" s="1" t="str">
        <f>"9780128127872"</f>
        <v>9780128127872</v>
      </c>
      <c r="C223" s="1">
        <v>135</v>
      </c>
      <c r="D223" s="1" t="str">
        <f>"USD"</f>
        <v>USD</v>
      </c>
      <c r="E223" s="1" t="str">
        <f>"2017"</f>
        <v>2017</v>
      </c>
      <c r="F223" s="1" t="str">
        <f>"Kupervasser"</f>
        <v>Kupervasser</v>
      </c>
      <c r="G223" s="1" t="str">
        <f>"dehkadehketab"</f>
        <v>dehkadehketab</v>
      </c>
      <c r="J223" s="1"/>
    </row>
    <row r="224" spans="1:10" x14ac:dyDescent="0.2">
      <c r="A224" s="1" t="str">
        <f>"Applied Biophysics for Drug Discovery"</f>
        <v>Applied Biophysics for Drug Discovery</v>
      </c>
      <c r="B224" s="1" t="str">
        <f>"9781119099482"</f>
        <v>9781119099482</v>
      </c>
      <c r="C224" s="1">
        <v>135</v>
      </c>
      <c r="D224" s="1" t="str">
        <f>"USD"</f>
        <v>USD</v>
      </c>
      <c r="E224" s="1" t="str">
        <f>"2017"</f>
        <v>2017</v>
      </c>
      <c r="F224" s="1" t="str">
        <f>"Huddler"</f>
        <v>Huddler</v>
      </c>
      <c r="G224" s="1" t="str">
        <f>"avanddanesh"</f>
        <v>avanddanesh</v>
      </c>
      <c r="J224" s="1"/>
    </row>
    <row r="225" spans="1:10" x14ac:dyDescent="0.2">
      <c r="A225" s="1" t="str">
        <f>"Applied Elasticity : Matrix And Tensor Analysis Of Elastic Continua, 2/ed, PB"</f>
        <v>Applied Elasticity : Matrix And Tensor Analysis Of Elastic Continua, 2/ed, PB</v>
      </c>
      <c r="B225" s="1" t="str">
        <f>"9781898563853"</f>
        <v>9781898563853</v>
      </c>
      <c r="C225" s="1">
        <v>21</v>
      </c>
      <c r="D225" s="1" t="str">
        <f>"GBP"</f>
        <v>GBP</v>
      </c>
      <c r="E225" s="1" t="str">
        <f>"2005"</f>
        <v>2005</v>
      </c>
      <c r="F225" s="1" t="str">
        <f>"Renton"</f>
        <v>Renton</v>
      </c>
      <c r="G225" s="1" t="str">
        <f>"supply"</f>
        <v>supply</v>
      </c>
      <c r="J225" s="1"/>
    </row>
    <row r="226" spans="1:10" x14ac:dyDescent="0.2">
      <c r="A226" s="1" t="str">
        <f>"Applied Engineering Mathematics, HB"</f>
        <v>Applied Engineering Mathematics, HB</v>
      </c>
      <c r="B226" s="1" t="str">
        <f>"9781904602569"</f>
        <v>9781904602569</v>
      </c>
      <c r="C226" s="1">
        <v>84</v>
      </c>
      <c r="D226" s="1" t="str">
        <f>"USD"</f>
        <v>USD</v>
      </c>
      <c r="E226" s="1" t="str">
        <f>"2007"</f>
        <v>2007</v>
      </c>
      <c r="F226" s="1" t="str">
        <f>"Yang"</f>
        <v>Yang</v>
      </c>
      <c r="G226" s="1" t="str">
        <f>"supply"</f>
        <v>supply</v>
      </c>
      <c r="J226" s="1"/>
    </row>
    <row r="227" spans="1:10" x14ac:dyDescent="0.2">
      <c r="A227" s="1" t="str">
        <f>"Applied Optics"</f>
        <v>Applied Optics</v>
      </c>
      <c r="B227" s="1" t="str">
        <f>"9788120351400"</f>
        <v>9788120351400</v>
      </c>
      <c r="C227" s="1">
        <v>11.05</v>
      </c>
      <c r="D227" s="1" t="str">
        <f>"USD"</f>
        <v>USD</v>
      </c>
      <c r="E227" s="1" t="str">
        <f>"2015"</f>
        <v>2015</v>
      </c>
      <c r="F227" s="1" t="str">
        <f>"Singh"</f>
        <v>Singh</v>
      </c>
      <c r="G227" s="1" t="str">
        <f>"jahanadib"</f>
        <v>jahanadib</v>
      </c>
      <c r="J227" s="1"/>
    </row>
    <row r="228" spans="1:10" x14ac:dyDescent="0.2">
      <c r="A228" s="1" t="str">
        <f>"Applied Physics of External Radiation Exposure: Dosimetry and Radiation Protection"</f>
        <v>Applied Physics of External Radiation Exposure: Dosimetry and Radiation Protection</v>
      </c>
      <c r="B228" s="1" t="str">
        <f>"9783319486581"</f>
        <v>9783319486581</v>
      </c>
      <c r="C228" s="1">
        <v>152.99</v>
      </c>
      <c r="D228" s="1" t="str">
        <f>"EUR"</f>
        <v>EUR</v>
      </c>
      <c r="E228" s="1" t="str">
        <f>"2017"</f>
        <v>2017</v>
      </c>
      <c r="F228" s="1" t="str">
        <f>"Antoni"</f>
        <v>Antoni</v>
      </c>
      <c r="G228" s="1" t="str">
        <f>"negarestanabi"</f>
        <v>negarestanabi</v>
      </c>
      <c r="J228" s="1"/>
    </row>
    <row r="229" spans="1:10" x14ac:dyDescent="0.2">
      <c r="A229" s="1" t="str">
        <f>"APPLIED PHYSICS, HB"</f>
        <v>APPLIED PHYSICS, HB</v>
      </c>
      <c r="B229" s="1" t="str">
        <f>"9789380014616"</f>
        <v>9789380014616</v>
      </c>
      <c r="C229" s="1">
        <v>26.67</v>
      </c>
      <c r="D229" s="1" t="str">
        <f t="shared" ref="D229:D234" si="9">"USD"</f>
        <v>USD</v>
      </c>
      <c r="E229" s="1" t="str">
        <f>"2010"</f>
        <v>2010</v>
      </c>
      <c r="F229" s="1" t="str">
        <f>"Singh"</f>
        <v>Singh</v>
      </c>
      <c r="G229" s="1" t="str">
        <f>"supply"</f>
        <v>supply</v>
      </c>
      <c r="J229" s="1"/>
    </row>
    <row r="230" spans="1:10" x14ac:dyDescent="0.2">
      <c r="A230" s="1" t="str">
        <f>"Applied Superconductivity: Handbook on Devices and Applications"</f>
        <v>Applied Superconductivity: Handbook on Devices and Applications</v>
      </c>
      <c r="B230" s="1" t="str">
        <f>"9783527412099"</f>
        <v>9783527412099</v>
      </c>
      <c r="C230" s="1">
        <v>540</v>
      </c>
      <c r="D230" s="1" t="str">
        <f t="shared" si="9"/>
        <v>USD</v>
      </c>
      <c r="E230" s="1" t="str">
        <f>"2015"</f>
        <v>2015</v>
      </c>
      <c r="F230" s="1" t="str">
        <f>"Seidel"</f>
        <v>Seidel</v>
      </c>
      <c r="G230" s="1" t="str">
        <f>"avanddanesh"</f>
        <v>avanddanesh</v>
      </c>
      <c r="J230" s="1"/>
    </row>
    <row r="231" spans="1:10" x14ac:dyDescent="0.2">
      <c r="A231" s="1" t="str">
        <f>"Applied Underwater Acoustics"</f>
        <v>Applied Underwater Acoustics</v>
      </c>
      <c r="B231" s="1" t="str">
        <f>"9780128112229"</f>
        <v>9780128112229</v>
      </c>
      <c r="C231" s="1">
        <v>202.5</v>
      </c>
      <c r="D231" s="1" t="str">
        <f t="shared" si="9"/>
        <v>USD</v>
      </c>
      <c r="E231" s="1" t="str">
        <f>"2017"</f>
        <v>2017</v>
      </c>
      <c r="F231" s="1" t="str">
        <f>"Neighbors, Thomas He"</f>
        <v>Neighbors, Thomas He</v>
      </c>
      <c r="G231" s="1" t="str">
        <f>"dehkadehketab"</f>
        <v>dehkadehketab</v>
      </c>
      <c r="J231" s="1"/>
    </row>
    <row r="232" spans="1:10" x14ac:dyDescent="0.2">
      <c r="A232" s="1" t="str">
        <f>"ASPECTS OF POLARON THEORY: EQUILIBRIUM AND NONEQUILIBRIUM PROBLEMS"</f>
        <v>ASPECTS OF POLARON THEORY: EQUILIBRIUM AND NONEQUILIBRIUM PROBLEMS</v>
      </c>
      <c r="B232" s="1" t="str">
        <f>"9789812833983"</f>
        <v>9789812833983</v>
      </c>
      <c r="C232" s="1">
        <v>20.440000000000001</v>
      </c>
      <c r="D232" s="1" t="str">
        <f t="shared" si="9"/>
        <v>USD</v>
      </c>
      <c r="E232" s="1" t="str">
        <f>"2008"</f>
        <v>2008</v>
      </c>
      <c r="F232" s="1" t="str">
        <f>"Bogolubov N N"</f>
        <v>Bogolubov N N</v>
      </c>
      <c r="G232" s="1" t="str">
        <f>"kowkab"</f>
        <v>kowkab</v>
      </c>
      <c r="J232" s="1"/>
    </row>
    <row r="233" spans="1:10" x14ac:dyDescent="0.2">
      <c r="A233" s="1" t="str">
        <f>"Astroinformatics (IAU S325)"</f>
        <v>Astroinformatics (IAU S325)</v>
      </c>
      <c r="B233" s="1" t="str">
        <f>"9781107169944"</f>
        <v>9781107169944</v>
      </c>
      <c r="C233" s="1">
        <v>112.5</v>
      </c>
      <c r="D233" s="1" t="str">
        <f t="shared" si="9"/>
        <v>USD</v>
      </c>
      <c r="E233" s="1" t="str">
        <f>"2017"</f>
        <v>2017</v>
      </c>
      <c r="F233" s="1" t="str">
        <f>"Brescia"</f>
        <v>Brescia</v>
      </c>
      <c r="G233" s="1" t="str">
        <f>"dehkadehketab"</f>
        <v>dehkadehketab</v>
      </c>
      <c r="J233" s="1"/>
    </row>
    <row r="234" spans="1:10" x14ac:dyDescent="0.2">
      <c r="A234" s="1" t="str">
        <f>"Astronautics"</f>
        <v>Astronautics</v>
      </c>
      <c r="B234" s="1" t="str">
        <f>"9783527406852"</f>
        <v>9783527406852</v>
      </c>
      <c r="C234" s="1">
        <v>60</v>
      </c>
      <c r="D234" s="1" t="str">
        <f t="shared" si="9"/>
        <v>USD</v>
      </c>
      <c r="E234" s="1" t="str">
        <f>"2007"</f>
        <v>2007</v>
      </c>
      <c r="F234" s="1" t="str">
        <f>"Walter"</f>
        <v>Walter</v>
      </c>
      <c r="G234" s="1" t="str">
        <f>"avanddanesh"</f>
        <v>avanddanesh</v>
      </c>
      <c r="J234" s="1"/>
    </row>
    <row r="235" spans="1:10" x14ac:dyDescent="0.2">
      <c r="A235" s="1" t="str">
        <f>"Astrophysical Applications of Gravitational Lensing"</f>
        <v>Astrophysical Applications of Gravitational Lensing</v>
      </c>
      <c r="B235" s="1" t="str">
        <f>"9781107078543"</f>
        <v>9781107078543</v>
      </c>
      <c r="C235" s="1">
        <v>67.5</v>
      </c>
      <c r="D235" s="1" t="str">
        <f>"GBP"</f>
        <v>GBP</v>
      </c>
      <c r="E235" s="1" t="str">
        <f>"2016"</f>
        <v>2016</v>
      </c>
      <c r="F235" s="1" t="str">
        <f>"Evencio Mediavilla ,"</f>
        <v>Evencio Mediavilla ,</v>
      </c>
      <c r="G235" s="1" t="str">
        <f>"arzinbooks"</f>
        <v>arzinbooks</v>
      </c>
      <c r="J235" s="1"/>
    </row>
    <row r="236" spans="1:10" x14ac:dyDescent="0.2">
      <c r="A236" s="1" t="str">
        <f>"Atlas of Neutron Resonances, Resonance Properties and Thermal Cross Sections Z= 1-60, 6th Edition"</f>
        <v>Atlas of Neutron Resonances, Resonance Properties and Thermal Cross Sections Z= 1-60, 6th Edition</v>
      </c>
      <c r="B236" s="1" t="str">
        <f>"9780444637581"</f>
        <v>9780444637581</v>
      </c>
      <c r="C236" s="1">
        <v>202.5</v>
      </c>
      <c r="D236" s="1" t="str">
        <f t="shared" ref="D236:D241" si="10">"USD"</f>
        <v>USD</v>
      </c>
      <c r="E236" s="1" t="str">
        <f>"2018"</f>
        <v>2018</v>
      </c>
      <c r="F236" s="1" t="str">
        <f>"Mughabghab"</f>
        <v>Mughabghab</v>
      </c>
      <c r="G236" s="1" t="str">
        <f>"dehkadehketab"</f>
        <v>dehkadehketab</v>
      </c>
      <c r="J236" s="1"/>
    </row>
    <row r="237" spans="1:10" x14ac:dyDescent="0.2">
      <c r="A237" s="1" t="str">
        <f>"Atlas of Neutron Resonances, Resonance Properties and Thermal Cross Sections Z=1-102, 6th Edition"</f>
        <v>Atlas of Neutron Resonances, Resonance Properties and Thermal Cross Sections Z=1-102, 6th Edition</v>
      </c>
      <c r="B237" s="1" t="str">
        <f>"9780444637697"</f>
        <v>9780444637697</v>
      </c>
      <c r="C237" s="1">
        <v>405</v>
      </c>
      <c r="D237" s="1" t="str">
        <f t="shared" si="10"/>
        <v>USD</v>
      </c>
      <c r="E237" s="1" t="str">
        <f>"2018"</f>
        <v>2018</v>
      </c>
      <c r="F237" s="1" t="str">
        <f>"Mughabghab"</f>
        <v>Mughabghab</v>
      </c>
      <c r="G237" s="1" t="str">
        <f>"dehkadehketab"</f>
        <v>dehkadehketab</v>
      </c>
      <c r="J237" s="1"/>
    </row>
    <row r="238" spans="1:10" x14ac:dyDescent="0.2">
      <c r="A238" s="1" t="str">
        <f>"Atlas of Neutron Resonances, Resonance Properties and Thermal Cross Sections Z=61-102, 6th Edition"</f>
        <v>Atlas of Neutron Resonances, Resonance Properties and Thermal Cross Sections Z=61-102, 6th Edition</v>
      </c>
      <c r="B238" s="1" t="str">
        <f>"9780444637772"</f>
        <v>9780444637772</v>
      </c>
      <c r="C238" s="1">
        <v>202.5</v>
      </c>
      <c r="D238" s="1" t="str">
        <f t="shared" si="10"/>
        <v>USD</v>
      </c>
      <c r="E238" s="1" t="str">
        <f>"2018"</f>
        <v>2018</v>
      </c>
      <c r="F238" s="1" t="str">
        <f>"Mughabghab"</f>
        <v>Mughabghab</v>
      </c>
      <c r="G238" s="1" t="str">
        <f>"dehkadehketab"</f>
        <v>dehkadehketab</v>
      </c>
      <c r="J238" s="1"/>
    </row>
    <row r="239" spans="1:10" x14ac:dyDescent="0.2">
      <c r="A239" s="1" t="str">
        <f>"Atmospheric Aerosols: Life Cycles and Effects on Air Quality and Climate"</f>
        <v>Atmospheric Aerosols: Life Cycles and Effects on Air Quality and Climate</v>
      </c>
      <c r="B239" s="1" t="str">
        <f>"9783527336456"</f>
        <v>9783527336456</v>
      </c>
      <c r="C239" s="1">
        <v>184.5</v>
      </c>
      <c r="D239" s="1" t="str">
        <f t="shared" si="10"/>
        <v>USD</v>
      </c>
      <c r="E239" s="1" t="str">
        <f>"2017"</f>
        <v>2017</v>
      </c>
      <c r="F239" s="1" t="str">
        <f>"Tomasi"</f>
        <v>Tomasi</v>
      </c>
      <c r="G239" s="1" t="str">
        <f>"avanddanesh"</f>
        <v>avanddanesh</v>
      </c>
      <c r="J239" s="1"/>
    </row>
    <row r="240" spans="1:10" x14ac:dyDescent="0.2">
      <c r="A240" s="1" t="str">
        <f>"Atmospheric Radiation"</f>
        <v>Atmospheric Radiation</v>
      </c>
      <c r="B240" s="1" t="str">
        <f>"9783527410989"</f>
        <v>9783527410989</v>
      </c>
      <c r="C240" s="1">
        <v>58.5</v>
      </c>
      <c r="D240" s="1" t="str">
        <f t="shared" si="10"/>
        <v>USD</v>
      </c>
      <c r="E240" s="1" t="str">
        <f>"2014"</f>
        <v>2014</v>
      </c>
      <c r="F240" s="1" t="str">
        <f>"Coakley Jr."</f>
        <v>Coakley Jr.</v>
      </c>
      <c r="G240" s="1" t="str">
        <f>"avanddanesh"</f>
        <v>avanddanesh</v>
      </c>
      <c r="J240" s="1"/>
    </row>
    <row r="241" spans="1:10" x14ac:dyDescent="0.2">
      <c r="A241" s="1" t="str">
        <f>"Atom Chips"</f>
        <v>Atom Chips</v>
      </c>
      <c r="B241" s="1" t="str">
        <f>"9783527407552"</f>
        <v>9783527407552</v>
      </c>
      <c r="C241" s="1">
        <v>64</v>
      </c>
      <c r="D241" s="1" t="str">
        <f t="shared" si="10"/>
        <v>USD</v>
      </c>
      <c r="E241" s="1" t="str">
        <f>"2011"</f>
        <v>2011</v>
      </c>
      <c r="F241" s="1" t="str">
        <f>"Reichel"</f>
        <v>Reichel</v>
      </c>
      <c r="G241" s="1" t="str">
        <f>"avanddanesh"</f>
        <v>avanddanesh</v>
      </c>
      <c r="J241" s="1"/>
    </row>
    <row r="242" spans="1:10" x14ac:dyDescent="0.2">
      <c r="A242" s="1" t="str">
        <f>"ATOM PROJECTS: EVENTS AND PEOPLE"</f>
        <v>ATOM PROJECTS: EVENTS AND PEOPLE</v>
      </c>
      <c r="B242" s="1" t="str">
        <f>"9789813145948"</f>
        <v>9789813145948</v>
      </c>
      <c r="C242" s="1">
        <v>20.7</v>
      </c>
      <c r="D242" s="1" t="str">
        <f>"GBP"</f>
        <v>GBP</v>
      </c>
      <c r="E242" s="1" t="str">
        <f>"2017"</f>
        <v>2017</v>
      </c>
      <c r="F242" s="1" t="str">
        <f>"IOFFE BORIS LAZAREV"</f>
        <v>IOFFE BORIS LAZAREV</v>
      </c>
      <c r="G242" s="1" t="str">
        <f>"AsarBartar"</f>
        <v>AsarBartar</v>
      </c>
      <c r="J242" s="1"/>
    </row>
    <row r="243" spans="1:10" x14ac:dyDescent="0.2">
      <c r="A243" s="1" t="str">
        <f>"ATOMIC PHYSICS, HB"</f>
        <v>ATOMIC PHYSICS, HB</v>
      </c>
      <c r="B243" s="1" t="str">
        <f>"9781926686967"</f>
        <v>9781926686967</v>
      </c>
      <c r="C243" s="1">
        <v>91</v>
      </c>
      <c r="D243" s="1" t="str">
        <f>"USD"</f>
        <v>USD</v>
      </c>
      <c r="E243" s="1" t="str">
        <f>"2010"</f>
        <v>2010</v>
      </c>
      <c r="F243" s="1" t="str">
        <f>"Mohan "</f>
        <v xml:space="preserve">Mohan </v>
      </c>
      <c r="G243" s="1" t="str">
        <f>"supply"</f>
        <v>supply</v>
      </c>
      <c r="J243" s="1"/>
    </row>
    <row r="244" spans="1:10" x14ac:dyDescent="0.2">
      <c r="A244" s="1" t="str">
        <f>"Atomic Physics: Precise Measurements and Ultracold Matter"</f>
        <v>Atomic Physics: Precise Measurements and Ultracold Matter</v>
      </c>
      <c r="B244" s="1" t="str">
        <f>"9780198525844"</f>
        <v>9780198525844</v>
      </c>
      <c r="C244" s="1">
        <v>20</v>
      </c>
      <c r="D244" s="1" t="str">
        <f>"GBP"</f>
        <v>GBP</v>
      </c>
      <c r="E244" s="1" t="str">
        <f>"2013"</f>
        <v>2013</v>
      </c>
      <c r="F244" s="1" t="str">
        <f>"MASSIMO INGUSCIO"</f>
        <v>MASSIMO INGUSCIO</v>
      </c>
      <c r="G244" s="1" t="str">
        <f>"arzinbooks"</f>
        <v>arzinbooks</v>
      </c>
      <c r="J244" s="1"/>
    </row>
    <row r="245" spans="1:10" x14ac:dyDescent="0.2">
      <c r="A245" s="1" t="str">
        <f>"Atomistic Computer Simulations: A Practical Guide"</f>
        <v>Atomistic Computer Simulations: A Practical Guide</v>
      </c>
      <c r="B245" s="1" t="str">
        <f>"9783527410699"</f>
        <v>9783527410699</v>
      </c>
      <c r="C245" s="1">
        <v>83.8</v>
      </c>
      <c r="D245" s="1" t="str">
        <f>"USD"</f>
        <v>USD</v>
      </c>
      <c r="E245" s="1" t="str">
        <f>"2013"</f>
        <v>2013</v>
      </c>
      <c r="F245" s="1" t="str">
        <f>"Brazdova"</f>
        <v>Brazdova</v>
      </c>
      <c r="G245" s="1" t="str">
        <f>"avanddanesh"</f>
        <v>avanddanesh</v>
      </c>
      <c r="J245" s="1"/>
    </row>
    <row r="246" spans="1:10" x14ac:dyDescent="0.2">
      <c r="A246" s="1" t="str">
        <f>"Atoms, Molecules And Clusters In Electric Fields: Theoretical Approaches To The Calculation of Electric Polarizability"</f>
        <v>Atoms, Molecules And Clusters In Electric Fields: Theoretical Approaches To The Calculation of Electric Polarizability</v>
      </c>
      <c r="B246" s="1" t="str">
        <f>"9781860946769"</f>
        <v>9781860946769</v>
      </c>
      <c r="C246" s="1">
        <v>39.5</v>
      </c>
      <c r="D246" s="1" t="str">
        <f>"GBP"</f>
        <v>GBP</v>
      </c>
      <c r="E246" s="1" t="str">
        <f>"2006"</f>
        <v>2006</v>
      </c>
      <c r="F246" s="1" t="str">
        <f>"Maroulis George"</f>
        <v>Maroulis George</v>
      </c>
      <c r="G246" s="1" t="str">
        <f>"kowkab"</f>
        <v>kowkab</v>
      </c>
      <c r="J246" s="1"/>
    </row>
    <row r="247" spans="1:10" x14ac:dyDescent="0.2">
      <c r="A247" s="1" t="str">
        <f>"Attosecond Nanophysics: From Basic Science to Applications"</f>
        <v>Attosecond Nanophysics: From Basic Science to Applications</v>
      </c>
      <c r="B247" s="1" t="str">
        <f>"9783527411719"</f>
        <v>9783527411719</v>
      </c>
      <c r="C247" s="1">
        <v>156.80000000000001</v>
      </c>
      <c r="D247" s="1" t="str">
        <f>"USD"</f>
        <v>USD</v>
      </c>
      <c r="E247" s="1" t="str">
        <f>"2015"</f>
        <v>2015</v>
      </c>
      <c r="F247" s="1" t="str">
        <f>"Hommelhoff"</f>
        <v>Hommelhoff</v>
      </c>
      <c r="G247" s="1" t="str">
        <f>"avanddanesh"</f>
        <v>avanddanesh</v>
      </c>
      <c r="J247" s="1"/>
    </row>
    <row r="248" spans="1:10" x14ac:dyDescent="0.2">
      <c r="A248" s="1" t="str">
        <f>"Avalanches in Functional Materials and Geophysics"</f>
        <v>Avalanches in Functional Materials and Geophysics</v>
      </c>
      <c r="B248" s="1" t="str">
        <f>"9783319456102"</f>
        <v>9783319456102</v>
      </c>
      <c r="C248" s="1">
        <v>98.99</v>
      </c>
      <c r="D248" s="1" t="str">
        <f>"EUR"</f>
        <v>EUR</v>
      </c>
      <c r="E248" s="1" t="str">
        <f>"2017"</f>
        <v>2017</v>
      </c>
      <c r="F248" s="1" t="str">
        <f>"Salje"</f>
        <v>Salje</v>
      </c>
      <c r="G248" s="1" t="str">
        <f>"negarestanabi"</f>
        <v>negarestanabi</v>
      </c>
      <c r="J248" s="1"/>
    </row>
    <row r="249" spans="1:10" x14ac:dyDescent="0.2">
      <c r="A249" s="1" t="str">
        <f>"Basic and Applied Physics"</f>
        <v>Basic and Applied Physics</v>
      </c>
      <c r="B249" s="1" t="str">
        <f>"9788184875171"</f>
        <v>9788184875171</v>
      </c>
      <c r="C249" s="1">
        <v>41.97</v>
      </c>
      <c r="D249" s="1" t="str">
        <f>"GBP"</f>
        <v>GBP</v>
      </c>
      <c r="E249" s="1" t="str">
        <f>"2016"</f>
        <v>2016</v>
      </c>
      <c r="F249" s="1" t="str">
        <f>"Pachuau"</f>
        <v>Pachuau</v>
      </c>
      <c r="G249" s="1" t="str">
        <f>"jahanadib"</f>
        <v>jahanadib</v>
      </c>
      <c r="J249" s="1"/>
    </row>
    <row r="250" spans="1:10" x14ac:dyDescent="0.2">
      <c r="A250" s="1" t="str">
        <f>"BASIC CONCEPT OF THERMODYNAMIC SYSTEM    "</f>
        <v xml:space="preserve">BASIC CONCEPT OF THERMODYNAMIC SYSTEM    </v>
      </c>
      <c r="B250" s="1" t="str">
        <f>"9788178849560"</f>
        <v>9788178849560</v>
      </c>
      <c r="C250" s="1">
        <v>16.52</v>
      </c>
      <c r="D250" s="1" t="str">
        <f>"USD"</f>
        <v>USD</v>
      </c>
      <c r="E250" s="1" t="str">
        <f>"2012"</f>
        <v>2012</v>
      </c>
      <c r="F250" s="1" t="str">
        <f>"Rathi, Manish"</f>
        <v>Rathi, Manish</v>
      </c>
      <c r="G250" s="1" t="str">
        <f>"supply"</f>
        <v>supply</v>
      </c>
      <c r="J250" s="1"/>
    </row>
    <row r="251" spans="1:10" x14ac:dyDescent="0.2">
      <c r="A251" s="1" t="str">
        <f>"Basic Concepts in Computational Physics. 2/ed"</f>
        <v>Basic Concepts in Computational Physics. 2/ed</v>
      </c>
      <c r="B251" s="1" t="str">
        <f>"9783319272634"</f>
        <v>9783319272634</v>
      </c>
      <c r="C251" s="1">
        <v>40.49</v>
      </c>
      <c r="D251" s="1" t="str">
        <f>"EUR"</f>
        <v>EUR</v>
      </c>
      <c r="E251" s="1" t="str">
        <f>"2016"</f>
        <v>2016</v>
      </c>
      <c r="F251" s="1" t="str">
        <f>"Stickler"</f>
        <v>Stickler</v>
      </c>
      <c r="G251" s="1" t="str">
        <f>"negarestanabi"</f>
        <v>negarestanabi</v>
      </c>
      <c r="J251" s="1"/>
    </row>
    <row r="252" spans="1:10" x14ac:dyDescent="0.2">
      <c r="A252" s="1" t="str">
        <f>"Basic Concepts of X-Ray Diffraction"</f>
        <v>Basic Concepts of X-Ray Diffraction</v>
      </c>
      <c r="B252" s="1" t="str">
        <f>"9783527335619"</f>
        <v>9783527335619</v>
      </c>
      <c r="C252" s="1">
        <v>75.7</v>
      </c>
      <c r="D252" s="1" t="str">
        <f>"USD"</f>
        <v>USD</v>
      </c>
      <c r="E252" s="1" t="str">
        <f>"2014"</f>
        <v>2014</v>
      </c>
      <c r="F252" s="1" t="str">
        <f>"Zolotoyabko"</f>
        <v>Zolotoyabko</v>
      </c>
      <c r="G252" s="1" t="str">
        <f>"avanddanesh"</f>
        <v>avanddanesh</v>
      </c>
      <c r="J252" s="1"/>
    </row>
    <row r="253" spans="1:10" x14ac:dyDescent="0.2">
      <c r="A253" s="1" t="str">
        <f>"Basic Electrical and Electronics Engineering Precise"</f>
        <v>Basic Electrical and Electronics Engineering Precise</v>
      </c>
      <c r="B253" s="1" t="str">
        <f>"9781118546758"</f>
        <v>9781118546758</v>
      </c>
      <c r="C253" s="1">
        <v>22.5</v>
      </c>
      <c r="D253" s="1" t="str">
        <f>"USD"</f>
        <v>USD</v>
      </c>
      <c r="E253" s="1" t="str">
        <f>"2012"</f>
        <v>2012</v>
      </c>
      <c r="F253" s="1" t="str">
        <f>"Wiley"</f>
        <v>Wiley</v>
      </c>
      <c r="G253" s="1" t="str">
        <f>"avanddanesh"</f>
        <v>avanddanesh</v>
      </c>
      <c r="J253" s="1"/>
    </row>
    <row r="254" spans="1:10" x14ac:dyDescent="0.2">
      <c r="A254" s="1" t="str">
        <f>"Basic Electromagnetic Theory"</f>
        <v>Basic Electromagnetic Theory</v>
      </c>
      <c r="B254" s="1" t="str">
        <f>"9781942270744"</f>
        <v>9781942270744</v>
      </c>
      <c r="C254" s="1">
        <v>47.6</v>
      </c>
      <c r="D254" s="1" t="str">
        <f>"GBP"</f>
        <v>GBP</v>
      </c>
      <c r="E254" s="1" t="str">
        <f>"2016"</f>
        <v>2016</v>
      </c>
      <c r="F254" s="1" t="str">
        <f>"Babington"</f>
        <v>Babington</v>
      </c>
      <c r="G254" s="1" t="str">
        <f>"jahanadib"</f>
        <v>jahanadib</v>
      </c>
      <c r="J254" s="1"/>
    </row>
    <row r="255" spans="1:10" x14ac:dyDescent="0.2">
      <c r="A255" s="1" t="str">
        <f>"BASIC PHYSICS"</f>
        <v>BASIC PHYSICS</v>
      </c>
      <c r="B255" s="1" t="str">
        <f>"9789813208018"</f>
        <v>9789813208018</v>
      </c>
      <c r="C255" s="1">
        <v>36</v>
      </c>
      <c r="D255" s="1" t="str">
        <f>"GBP"</f>
        <v>GBP</v>
      </c>
      <c r="E255" s="1" t="str">
        <f>"2017"</f>
        <v>2017</v>
      </c>
      <c r="F255" s="1" t="str">
        <f>"FORD KENNETH W"</f>
        <v>FORD KENNETH W</v>
      </c>
      <c r="G255" s="1" t="str">
        <f>"AsarBartar"</f>
        <v>AsarBartar</v>
      </c>
      <c r="J255" s="1"/>
    </row>
    <row r="256" spans="1:10" x14ac:dyDescent="0.2">
      <c r="A256" s="1" t="str">
        <f>"BASIC PRINCIPLES OF ELECTROSTATICS, HB"</f>
        <v>BASIC PRINCIPLES OF ELECTROSTATICS, HB</v>
      </c>
      <c r="B256" s="1" t="str">
        <f>"9788178845920"</f>
        <v>9788178845920</v>
      </c>
      <c r="C256" s="1">
        <v>17.5</v>
      </c>
      <c r="D256" s="1" t="str">
        <f>"USD"</f>
        <v>USD</v>
      </c>
      <c r="E256" s="1" t="str">
        <f>"2010"</f>
        <v>2010</v>
      </c>
      <c r="F256" s="1" t="str">
        <f>"Taneja"</f>
        <v>Taneja</v>
      </c>
      <c r="G256" s="1" t="str">
        <f>"supply"</f>
        <v>supply</v>
      </c>
      <c r="J256" s="1"/>
    </row>
    <row r="257" spans="1:10" x14ac:dyDescent="0.2">
      <c r="A257" s="1" t="str">
        <f>"Basic Semiconductor Physics. 3/ed"</f>
        <v>Basic Semiconductor Physics. 3/ed</v>
      </c>
      <c r="B257" s="1" t="str">
        <f>"9783319668598"</f>
        <v>9783319668598</v>
      </c>
      <c r="C257" s="1">
        <v>89.99</v>
      </c>
      <c r="D257" s="1" t="str">
        <f>"EUR"</f>
        <v>EUR</v>
      </c>
      <c r="E257" s="1" t="str">
        <f>"2017"</f>
        <v>2017</v>
      </c>
      <c r="F257" s="1" t="str">
        <f>"Hamaguchi"</f>
        <v>Hamaguchi</v>
      </c>
      <c r="G257" s="1" t="str">
        <f>"negarestanabi"</f>
        <v>negarestanabi</v>
      </c>
      <c r="J257" s="1"/>
    </row>
    <row r="258" spans="1:10" x14ac:dyDescent="0.2">
      <c r="A258" s="1" t="str">
        <f>"Basics of Laser Physics: For Students of Science and Engineering. 2/ed"</f>
        <v>Basics of Laser Physics: For Students of Science and Engineering. 2/ed</v>
      </c>
      <c r="B258" s="1" t="str">
        <f>"9783319506500"</f>
        <v>9783319506500</v>
      </c>
      <c r="C258" s="1">
        <v>89.99</v>
      </c>
      <c r="D258" s="1" t="str">
        <f>"EUR"</f>
        <v>EUR</v>
      </c>
      <c r="E258" s="1" t="str">
        <f>"2017"</f>
        <v>2017</v>
      </c>
      <c r="F258" s="1" t="str">
        <f>"Renk"</f>
        <v>Renk</v>
      </c>
      <c r="G258" s="1" t="str">
        <f>"negarestanabi"</f>
        <v>negarestanabi</v>
      </c>
      <c r="J258" s="1"/>
    </row>
    <row r="259" spans="1:10" x14ac:dyDescent="0.2">
      <c r="A259" s="1" t="str">
        <f>"Basics Of Particle Physics, HB"</f>
        <v>Basics Of Particle Physics, HB</v>
      </c>
      <c r="B259" s="1" t="str">
        <f>"9788126135646"</f>
        <v>9788126135646</v>
      </c>
      <c r="C259" s="1">
        <v>22.47</v>
      </c>
      <c r="D259" s="1" t="str">
        <f>"USD"</f>
        <v>USD</v>
      </c>
      <c r="E259" s="1" t="str">
        <f>"2008"</f>
        <v>2008</v>
      </c>
      <c r="F259" s="1" t="str">
        <f>"Jha"</f>
        <v>Jha</v>
      </c>
      <c r="G259" s="1" t="str">
        <f>"supply"</f>
        <v>supply</v>
      </c>
      <c r="J259" s="1"/>
    </row>
    <row r="260" spans="1:10" x14ac:dyDescent="0.2">
      <c r="A260" s="1" t="str">
        <f>"Basics Of Quantum Mechanics, HB"</f>
        <v>Basics Of Quantum Mechanics, HB</v>
      </c>
      <c r="B260" s="1" t="str">
        <f>"9788126135653"</f>
        <v>9788126135653</v>
      </c>
      <c r="C260" s="1">
        <v>22.47</v>
      </c>
      <c r="D260" s="1" t="str">
        <f>"USD"</f>
        <v>USD</v>
      </c>
      <c r="E260" s="1" t="str">
        <f>"2008"</f>
        <v>2008</v>
      </c>
      <c r="F260" s="1" t="str">
        <f>"Jha"</f>
        <v>Jha</v>
      </c>
      <c r="G260" s="1" t="str">
        <f>"supply"</f>
        <v>supply</v>
      </c>
      <c r="J260" s="1"/>
    </row>
    <row r="261" spans="1:10" x14ac:dyDescent="0.2">
      <c r="A261" s="1" t="str">
        <f>"Basics of Thermal Field Theory: A Tutorial on Perturbative Computations"</f>
        <v>Basics of Thermal Field Theory: A Tutorial on Perturbative Computations</v>
      </c>
      <c r="B261" s="1" t="str">
        <f>"9783319319322"</f>
        <v>9783319319322</v>
      </c>
      <c r="C261" s="1">
        <v>40.49</v>
      </c>
      <c r="D261" s="1" t="str">
        <f>"EUR"</f>
        <v>EUR</v>
      </c>
      <c r="E261" s="1" t="str">
        <f>"2016"</f>
        <v>2016</v>
      </c>
      <c r="F261" s="1" t="str">
        <f>"Laine"</f>
        <v>Laine</v>
      </c>
      <c r="G261" s="1" t="str">
        <f>"negarestanabi"</f>
        <v>negarestanabi</v>
      </c>
      <c r="J261" s="1"/>
    </row>
    <row r="262" spans="1:10" x14ac:dyDescent="0.2">
      <c r="A262" s="1" t="str">
        <f>"BASICS OF THERMODYNAMICS, HB"</f>
        <v>BASICS OF THERMODYNAMICS, HB</v>
      </c>
      <c r="B262" s="1" t="str">
        <f>"9788126135660"</f>
        <v>9788126135660</v>
      </c>
      <c r="C262" s="1">
        <v>22.47</v>
      </c>
      <c r="D262" s="1" t="str">
        <f>"USD"</f>
        <v>USD</v>
      </c>
      <c r="E262" s="1" t="str">
        <f>"2008"</f>
        <v>2008</v>
      </c>
      <c r="F262" s="1" t="str">
        <f>"Khan"</f>
        <v>Khan</v>
      </c>
      <c r="G262" s="1" t="str">
        <f>"supply"</f>
        <v>supply</v>
      </c>
      <c r="J262" s="1"/>
    </row>
    <row r="263" spans="1:10" x14ac:dyDescent="0.2">
      <c r="A263" s="1" t="str">
        <f>"BASIS PROPERTIES &amp; COMPLETENESS OF CERTAIN SYSTEMS OF ELEMENTARY FUNCTIONS, PB"</f>
        <v>BASIS PROPERTIES &amp; COMPLETENESS OF CERTAIN SYSTEMS OF ELEMENTARY FUNCTIONS, PB</v>
      </c>
      <c r="B263" s="1" t="str">
        <f>"9781904868583"</f>
        <v>9781904868583</v>
      </c>
      <c r="C263" s="1">
        <v>38.5</v>
      </c>
      <c r="D263" s="1" t="str">
        <f>"USD"</f>
        <v>USD</v>
      </c>
      <c r="E263" s="1" t="str">
        <f>"2008"</f>
        <v>2008</v>
      </c>
      <c r="F263" s="1" t="str">
        <f>"Moiseev "</f>
        <v xml:space="preserve">Moiseev </v>
      </c>
      <c r="G263" s="1" t="str">
        <f>"supply"</f>
        <v>supply</v>
      </c>
      <c r="J263" s="1"/>
    </row>
    <row r="264" spans="1:10" x14ac:dyDescent="0.2">
      <c r="A264" s="1" t="str">
        <f>"Bayesian Inference: Data Evaluation and Decisions. 2/ed"</f>
        <v>Bayesian Inference: Data Evaluation and Decisions. 2/ed</v>
      </c>
      <c r="B264" s="1" t="str">
        <f>"9783319416427"</f>
        <v>9783319416427</v>
      </c>
      <c r="C264" s="1">
        <v>87.29</v>
      </c>
      <c r="D264" s="1" t="str">
        <f>"EUR"</f>
        <v>EUR</v>
      </c>
      <c r="E264" s="1" t="str">
        <f>"2016"</f>
        <v>2016</v>
      </c>
      <c r="F264" s="1" t="str">
        <f>"Harney"</f>
        <v>Harney</v>
      </c>
      <c r="G264" s="1" t="str">
        <f>"negarestanabi"</f>
        <v>negarestanabi</v>
      </c>
      <c r="J264" s="1"/>
    </row>
    <row r="265" spans="1:10" x14ac:dyDescent="0.2">
      <c r="A265" s="1" t="str">
        <f>"Beam Instrumentation Workshop 2004"</f>
        <v>Beam Instrumentation Workshop 2004</v>
      </c>
      <c r="B265" s="1" t="str">
        <f>"9780735402140"</f>
        <v>9780735402140</v>
      </c>
      <c r="C265" s="1">
        <v>151.41999999999999</v>
      </c>
      <c r="D265" s="1" t="str">
        <f>"USD"</f>
        <v>USD</v>
      </c>
      <c r="E265" s="1" t="str">
        <f>"2005"</f>
        <v>2005</v>
      </c>
      <c r="F265" s="1" t="str">
        <f>"Shea,T.(Eds)"</f>
        <v>Shea,T.(Eds)</v>
      </c>
      <c r="G265" s="1" t="str">
        <f>"safirketab"</f>
        <v>safirketab</v>
      </c>
      <c r="J265" s="1"/>
    </row>
    <row r="266" spans="1:10" x14ac:dyDescent="0.2">
      <c r="A266" s="1" t="str">
        <f>"Behavioral Modeling and Linearization of RF Power Amplifiers (Artech House Microwave Library)"</f>
        <v>Behavioral Modeling and Linearization of RF Power Amplifiers (Artech House Microwave Library)</v>
      </c>
      <c r="B266" s="1" t="str">
        <f>"9781608071203"</f>
        <v>9781608071203</v>
      </c>
      <c r="C266" s="1">
        <v>87.2</v>
      </c>
      <c r="D266" s="1" t="str">
        <f>"GBP"</f>
        <v>GBP</v>
      </c>
      <c r="E266" s="1" t="str">
        <f>"2014"</f>
        <v>2014</v>
      </c>
      <c r="F266" s="1" t="str">
        <f>"JOHN WOOD"</f>
        <v>JOHN WOOD</v>
      </c>
      <c r="G266" s="1" t="str">
        <f>"AsarBartar"</f>
        <v>AsarBartar</v>
      </c>
      <c r="J266" s="1"/>
    </row>
    <row r="267" spans="1:10" x14ac:dyDescent="0.2">
      <c r="A267" s="1" t="str">
        <f>"Beyond Classical Physics"</f>
        <v>Beyond Classical Physics</v>
      </c>
      <c r="B267" s="1" t="str">
        <f>"9783319631592"</f>
        <v>9783319631592</v>
      </c>
      <c r="C267" s="1">
        <v>44.99</v>
      </c>
      <c r="D267" s="1" t="str">
        <f>"EUR"</f>
        <v>EUR</v>
      </c>
      <c r="E267" s="1" t="str">
        <f>"2018"</f>
        <v>2018</v>
      </c>
      <c r="F267" s="1" t="str">
        <f>"Cunningham"</f>
        <v>Cunningham</v>
      </c>
      <c r="G267" s="1" t="str">
        <f>"negarestanabi"</f>
        <v>negarestanabi</v>
      </c>
      <c r="J267" s="1"/>
    </row>
    <row r="268" spans="1:10" x14ac:dyDescent="0.2">
      <c r="A268" s="1" t="str">
        <f>"BIOBASED ECONOMY: BIOFUELS, MATERIALS AND CHEMICALS IN THE POST-OIL ERA,THE"</f>
        <v>BIOBASED ECONOMY: BIOFUELS, MATERIALS AND CHEMICALS IN THE POST-OIL ERA,THE</v>
      </c>
      <c r="B268" s="1" t="str">
        <f>"9781844077700"</f>
        <v>9781844077700</v>
      </c>
      <c r="C268" s="1">
        <v>19.5</v>
      </c>
      <c r="D268" s="1" t="str">
        <f>"GBP"</f>
        <v>GBP</v>
      </c>
      <c r="E268" s="1" t="str">
        <f>"2010"</f>
        <v>2010</v>
      </c>
      <c r="F268" s="1" t="str">
        <f>"JOHAN SANDERS(EDITO"</f>
        <v>JOHAN SANDERS(EDITO</v>
      </c>
      <c r="G268" s="1" t="str">
        <f>"AsarBartar"</f>
        <v>AsarBartar</v>
      </c>
      <c r="J268" s="1"/>
    </row>
    <row r="269" spans="1:10" x14ac:dyDescent="0.2">
      <c r="A269" s="1" t="str">
        <f>"Bioenergy: Part 1: Principles and Technologies (Green Alternative Energy Resources)"</f>
        <v>Bioenergy: Part 1: Principles and Technologies (Green Alternative Energy Resources)</v>
      </c>
      <c r="B269" s="1" t="str">
        <f>"9783110344196"</f>
        <v>9783110344196</v>
      </c>
      <c r="C269" s="1">
        <v>89.95</v>
      </c>
      <c r="D269" s="1" t="str">
        <f>"EUR"</f>
        <v>EUR</v>
      </c>
      <c r="E269" s="1" t="str">
        <f>"2017"</f>
        <v>2017</v>
      </c>
      <c r="F269" s="1" t="str">
        <f>"Zhenhong Yuan(Edito"</f>
        <v>Zhenhong Yuan(Edito</v>
      </c>
      <c r="G269" s="1" t="str">
        <f>"AsarBartar"</f>
        <v>AsarBartar</v>
      </c>
      <c r="J269" s="1"/>
    </row>
    <row r="270" spans="1:10" x14ac:dyDescent="0.2">
      <c r="A270" s="1" t="str">
        <f>"Bioenergy: Part 2: Principles and Technologies (Green Alternative Energy Resources)"</f>
        <v>Bioenergy: Part 2: Principles and Technologies (Green Alternative Energy Resources)</v>
      </c>
      <c r="B270" s="1" t="str">
        <f>"9783110475517"</f>
        <v>9783110475517</v>
      </c>
      <c r="C270" s="1">
        <v>89.95</v>
      </c>
      <c r="D270" s="1" t="str">
        <f>"EUR"</f>
        <v>EUR</v>
      </c>
      <c r="E270" s="1" t="str">
        <f>"2018"</f>
        <v>2018</v>
      </c>
      <c r="F270" s="1" t="str">
        <f>"Zhenhong Yuan(Edito"</f>
        <v>Zhenhong Yuan(Edito</v>
      </c>
      <c r="G270" s="1" t="str">
        <f>"AsarBartar"</f>
        <v>AsarBartar</v>
      </c>
      <c r="J270" s="1"/>
    </row>
    <row r="271" spans="1:10" x14ac:dyDescent="0.2">
      <c r="A271" s="1" t="str">
        <f>"Biofuel Cropping Systems: Carbon, Land and Food"</f>
        <v>Biofuel Cropping Systems: Carbon, Land and Food</v>
      </c>
      <c r="B271" s="1" t="str">
        <f>"9780415539531"</f>
        <v>9780415539531</v>
      </c>
      <c r="C271" s="1">
        <v>59.2</v>
      </c>
      <c r="D271" s="1" t="str">
        <f>"GBP"</f>
        <v>GBP</v>
      </c>
      <c r="E271" s="1" t="str">
        <f>"2014"</f>
        <v>2014</v>
      </c>
      <c r="F271" s="1" t="str">
        <f>"Herman van Keulen(E"</f>
        <v>Herman van Keulen(E</v>
      </c>
      <c r="G271" s="1" t="str">
        <f>"AsarBartar"</f>
        <v>AsarBartar</v>
      </c>
      <c r="J271" s="1"/>
    </row>
    <row r="272" spans="1:10" x14ac:dyDescent="0.2">
      <c r="A272" s="1" t="str">
        <f>"Biofuels: Production and Future Perspectives"</f>
        <v>Biofuels: Production and Future Perspectives</v>
      </c>
      <c r="B272" s="1" t="str">
        <f>"9781498723596"</f>
        <v>9781498723596</v>
      </c>
      <c r="C272" s="1">
        <v>80.75</v>
      </c>
      <c r="D272" s="1" t="str">
        <f>"GBP"</f>
        <v>GBP</v>
      </c>
      <c r="E272" s="1" t="str">
        <f>"2016"</f>
        <v>2016</v>
      </c>
      <c r="F272" s="1" t="str">
        <f>"Ram Sarup Singh(Edi"</f>
        <v>Ram Sarup Singh(Edi</v>
      </c>
      <c r="G272" s="1" t="str">
        <f>"AsarBartar"</f>
        <v>AsarBartar</v>
      </c>
      <c r="J272" s="1"/>
    </row>
    <row r="273" spans="1:10" x14ac:dyDescent="0.2">
      <c r="A273" s="1" t="str">
        <f>"Biohybrid Systems: Nerves, Interfaces, and Machines"</f>
        <v>Biohybrid Systems: Nerves, Interfaces, and Machines</v>
      </c>
      <c r="B273" s="1" t="str">
        <f>"9783527409495"</f>
        <v>9783527409495</v>
      </c>
      <c r="C273" s="1">
        <v>72.8</v>
      </c>
      <c r="D273" s="1" t="str">
        <f>"USD"</f>
        <v>USD</v>
      </c>
      <c r="E273" s="1" t="str">
        <f>"2011"</f>
        <v>2011</v>
      </c>
      <c r="F273" s="1" t="str">
        <f>"Jung"</f>
        <v>Jung</v>
      </c>
      <c r="G273" s="1" t="str">
        <f>"avanddanesh"</f>
        <v>avanddanesh</v>
      </c>
      <c r="J273" s="1"/>
    </row>
    <row r="274" spans="1:10" x14ac:dyDescent="0.2">
      <c r="A274" s="1" t="str">
        <f>"Biomedical ImagingPrinciples of Radiography, Tomography and Medical Physics"</f>
        <v>Biomedical ImagingPrinciples of Radiography, Tomography and Medical Physics</v>
      </c>
      <c r="B274" s="1" t="str">
        <f>"9783110426687"</f>
        <v>9783110426687</v>
      </c>
      <c r="C274" s="1">
        <v>53.95</v>
      </c>
      <c r="D274" s="1" t="str">
        <f>"EUR"</f>
        <v>EUR</v>
      </c>
      <c r="E274" s="1" t="str">
        <f>"2017"</f>
        <v>2017</v>
      </c>
      <c r="F274" s="1" t="str">
        <f>"Salditt, Tim / Aspe"</f>
        <v>Salditt, Tim / Aspe</v>
      </c>
      <c r="G274" s="1" t="str">
        <f>"AsarBartar"</f>
        <v>AsarBartar</v>
      </c>
      <c r="J274" s="1"/>
    </row>
    <row r="275" spans="1:10" x14ac:dyDescent="0.2">
      <c r="A275" s="1" t="str">
        <f>"Biomimetics: Bioinspired Hierarchical-Structured Surfaces for Green Science and Technology. 2/ed"</f>
        <v>Biomimetics: Bioinspired Hierarchical-Structured Surfaces for Green Science and Technology. 2/ed</v>
      </c>
      <c r="B275" s="1" t="str">
        <f>"9783319282824"</f>
        <v>9783319282824</v>
      </c>
      <c r="C275" s="1">
        <v>161.99</v>
      </c>
      <c r="D275" s="1" t="str">
        <f>"EUR"</f>
        <v>EUR</v>
      </c>
      <c r="E275" s="1" t="str">
        <f>"2016"</f>
        <v>2016</v>
      </c>
      <c r="F275" s="1" t="str">
        <f>"Bhushan"</f>
        <v>Bhushan</v>
      </c>
      <c r="G275" s="1" t="str">
        <f>"negarestanabi"</f>
        <v>negarestanabi</v>
      </c>
      <c r="J275" s="1"/>
    </row>
    <row r="276" spans="1:10" x14ac:dyDescent="0.2">
      <c r="A276" s="1" t="str">
        <f>"Biosensors for Security and Bioterrorism Applications"</f>
        <v>Biosensors for Security and Bioterrorism Applications</v>
      </c>
      <c r="B276" s="1" t="str">
        <f>"9783319289243"</f>
        <v>9783319289243</v>
      </c>
      <c r="C276" s="1">
        <v>152.99</v>
      </c>
      <c r="D276" s="1" t="str">
        <f>"EUR"</f>
        <v>EUR</v>
      </c>
      <c r="E276" s="1" t="str">
        <f>"2016"</f>
        <v>2016</v>
      </c>
      <c r="F276" s="1" t="str">
        <f>"Nikolelis"</f>
        <v>Nikolelis</v>
      </c>
      <c r="G276" s="1" t="str">
        <f>"negarestanabi"</f>
        <v>negarestanabi</v>
      </c>
      <c r="J276" s="1"/>
    </row>
    <row r="277" spans="1:10" x14ac:dyDescent="0.2">
      <c r="A277" s="1" t="str">
        <f>"Blackbody Radiation: A History of Thermal Radiation Computational Aids and Numerical Methods (Optical Sciences and Applications of Light)"</f>
        <v>Blackbody Radiation: A History of Thermal Radiation Computational Aids and Numerical Methods (Optical Sciences and Applications of Light)</v>
      </c>
      <c r="B277" s="1" t="str">
        <f>"9781482263121"</f>
        <v>9781482263121</v>
      </c>
      <c r="C277" s="1">
        <v>129.34</v>
      </c>
      <c r="D277" s="1" t="str">
        <f>"GBP"</f>
        <v>GBP</v>
      </c>
      <c r="E277" s="1" t="str">
        <f>"2016"</f>
        <v>2016</v>
      </c>
      <c r="F277" s="1" t="str">
        <f>"STEWART"</f>
        <v>STEWART</v>
      </c>
      <c r="G277" s="1" t="str">
        <f>"sal"</f>
        <v>sal</v>
      </c>
      <c r="J277" s="1"/>
    </row>
    <row r="278" spans="1:10" x14ac:dyDescent="0.2">
      <c r="A278" s="1" t="str">
        <f>"Boolean Circuit Rewiring: Bridging Logical and Physical Designs"</f>
        <v>Boolean Circuit Rewiring: Bridging Logical and Physical Designs</v>
      </c>
      <c r="B278" s="1" t="str">
        <f>"9781118750117"</f>
        <v>9781118750117</v>
      </c>
      <c r="C278" s="1">
        <v>123.3</v>
      </c>
      <c r="D278" s="1" t="str">
        <f>"USD"</f>
        <v>USD</v>
      </c>
      <c r="E278" s="1" t="str">
        <f>"2016"</f>
        <v>2016</v>
      </c>
      <c r="F278" s="1" t="str">
        <f>"Lam"</f>
        <v>Lam</v>
      </c>
      <c r="G278" s="1" t="str">
        <f>"avanddanesh"</f>
        <v>avanddanesh</v>
      </c>
      <c r="J278" s="1"/>
    </row>
    <row r="279" spans="1:10" x14ac:dyDescent="0.2">
      <c r="A279" s="1" t="str">
        <f>"BOUNDARY VALUES AND CONVOLUTION IN ULTRADISTRIBUTION SPACES (Series on Analysis, Applications and Computation)"</f>
        <v>BOUNDARY VALUES AND CONVOLUTION IN ULTRADISTRIBUTION SPACES (Series on Analysis, Applications and Computation)</v>
      </c>
      <c r="B279" s="1" t="str">
        <f>"9789812707697"</f>
        <v>9789812707697</v>
      </c>
      <c r="C279" s="1">
        <v>26.38</v>
      </c>
      <c r="D279" s="1" t="str">
        <f>"USD"</f>
        <v>USD</v>
      </c>
      <c r="E279" s="1" t="str">
        <f>"2007"</f>
        <v>2007</v>
      </c>
      <c r="F279" s="1" t="str">
        <f>"Pilipovic Steven Et "</f>
        <v xml:space="preserve">Pilipovic Steven Et </v>
      </c>
      <c r="G279" s="1" t="str">
        <f>"kowkab"</f>
        <v>kowkab</v>
      </c>
      <c r="J279" s="1"/>
    </row>
    <row r="280" spans="1:10" x14ac:dyDescent="0.2">
      <c r="A280" s="1" t="str">
        <f>"Building Futures: Managing energy in the built environment"</f>
        <v>Building Futures: Managing energy in the built environment</v>
      </c>
      <c r="B280" s="1" t="str">
        <f>"9780415720120"</f>
        <v>9780415720120</v>
      </c>
      <c r="C280" s="1">
        <v>31.45</v>
      </c>
      <c r="D280" s="1" t="str">
        <f>"GBP"</f>
        <v>GBP</v>
      </c>
      <c r="E280" s="1" t="str">
        <f>"2016"</f>
        <v>2016</v>
      </c>
      <c r="F280" s="1" t="str">
        <f>"Chris Foulds"</f>
        <v>Chris Foulds</v>
      </c>
      <c r="G280" s="1" t="str">
        <f>"AsarBartar"</f>
        <v>AsarBartar</v>
      </c>
      <c r="J280" s="1"/>
    </row>
    <row r="281" spans="1:10" x14ac:dyDescent="0.2">
      <c r="A281" s="1" t="str">
        <f>"Building-Integrated Solar Energy Systems"</f>
        <v>Building-Integrated Solar Energy Systems</v>
      </c>
      <c r="B281" s="1" t="str">
        <f>"9781498727761"</f>
        <v>9781498727761</v>
      </c>
      <c r="C281" s="1">
        <v>89.1</v>
      </c>
      <c r="D281" s="1" t="str">
        <f>"GBP"</f>
        <v>GBP</v>
      </c>
      <c r="E281" s="1" t="str">
        <f>"2017"</f>
        <v>2017</v>
      </c>
      <c r="F281" s="1" t="str">
        <f>"Robert E. Parkin"</f>
        <v>Robert E. Parkin</v>
      </c>
      <c r="G281" s="1" t="str">
        <f>"AsarBartar"</f>
        <v>AsarBartar</v>
      </c>
      <c r="J281" s="1"/>
    </row>
    <row r="282" spans="1:10" x14ac:dyDescent="0.2">
      <c r="A282" s="1" t="str">
        <f>"CACHING THE CARBON"</f>
        <v>CACHING THE CARBON</v>
      </c>
      <c r="B282" s="1" t="str">
        <f>"9781848444126"</f>
        <v>9781848444126</v>
      </c>
      <c r="C282" s="1">
        <v>23.98</v>
      </c>
      <c r="D282" s="1" t="str">
        <f>"GBP"</f>
        <v>GBP</v>
      </c>
      <c r="E282" s="1" t="str">
        <f>"2009"</f>
        <v>2009</v>
      </c>
      <c r="F282" s="1" t="str">
        <f>"MEADOWCROFT, J.   L"</f>
        <v>MEADOWCROFT, J.   L</v>
      </c>
      <c r="G282" s="1" t="str">
        <f>"AsarBartar"</f>
        <v>AsarBartar</v>
      </c>
      <c r="J282" s="1"/>
    </row>
    <row r="283" spans="1:10" x14ac:dyDescent="0.2">
      <c r="A283" s="1" t="str">
        <f>"Carbon Nanomaterials: Synthesis, Structure, Properties and Applications"</f>
        <v>Carbon Nanomaterials: Synthesis, Structure, Properties and Applications</v>
      </c>
      <c r="B283" s="1" t="str">
        <f>"9781498702102"</f>
        <v>9781498702102</v>
      </c>
      <c r="C283" s="1">
        <v>112.5</v>
      </c>
      <c r="D283" s="1" t="str">
        <f>"GBP"</f>
        <v>GBP</v>
      </c>
      <c r="E283" s="1" t="str">
        <f>"2017"</f>
        <v>2017</v>
      </c>
      <c r="F283" s="1" t="str">
        <f>"MATHUR"</f>
        <v>MATHUR</v>
      </c>
      <c r="G283" s="1" t="str">
        <f>"sal"</f>
        <v>sal</v>
      </c>
      <c r="J283" s="1"/>
    </row>
    <row r="284" spans="1:10" x14ac:dyDescent="0.2">
      <c r="A284" s="1" t="str">
        <f>"Carrier Transport in Nanoscale MOS Transistors"</f>
        <v>Carrier Transport in Nanoscale MOS Transistors</v>
      </c>
      <c r="B284" s="1" t="str">
        <f>"9781118871669"</f>
        <v>9781118871669</v>
      </c>
      <c r="C284" s="1">
        <v>114.8</v>
      </c>
      <c r="D284" s="1" t="str">
        <f>"USD"</f>
        <v>USD</v>
      </c>
      <c r="E284" s="1" t="str">
        <f>"2016"</f>
        <v>2016</v>
      </c>
      <c r="F284" s="1" t="str">
        <f>"Tsuchiya"</f>
        <v>Tsuchiya</v>
      </c>
      <c r="G284" s="1" t="str">
        <f>"avanddanesh"</f>
        <v>avanddanesh</v>
      </c>
      <c r="J284" s="1"/>
    </row>
    <row r="285" spans="1:10" x14ac:dyDescent="0.2">
      <c r="A285" s="1" t="str">
        <f>"Case Studies in Mechanical Engineering: Decision Making, Thermodynamics, Fluid Mechanics and Heat Transfer"</f>
        <v>Case Studies in Mechanical Engineering: Decision Making, Thermodynamics, Fluid Mechanics and Heat Transfer</v>
      </c>
      <c r="B285" s="1" t="str">
        <f>"9781119119746"</f>
        <v>9781119119746</v>
      </c>
      <c r="C285" s="1">
        <v>76.5</v>
      </c>
      <c r="D285" s="1" t="str">
        <f>"USD"</f>
        <v>USD</v>
      </c>
      <c r="E285" s="1" t="str">
        <f>"2016"</f>
        <v>2016</v>
      </c>
      <c r="F285" s="1" t="str">
        <f>"Sabol"</f>
        <v>Sabol</v>
      </c>
      <c r="G285" s="1" t="str">
        <f>"avanddanesh"</f>
        <v>avanddanesh</v>
      </c>
      <c r="J285" s="1"/>
    </row>
    <row r="286" spans="1:10" x14ac:dyDescent="0.2">
      <c r="A286" s="1" t="str">
        <f>"Causality and Chance in Modern Physics"</f>
        <v>Causality and Chance in Modern Physics</v>
      </c>
      <c r="B286" s="1" t="str">
        <f>"9781138151550"</f>
        <v>9781138151550</v>
      </c>
      <c r="C286" s="1">
        <v>109.26</v>
      </c>
      <c r="D286" s="1" t="str">
        <f>"GBP"</f>
        <v>GBP</v>
      </c>
      <c r="E286" s="1" t="str">
        <f>"2016"</f>
        <v>2016</v>
      </c>
      <c r="F286" s="1" t="str">
        <f>"BOHM"</f>
        <v>BOHM</v>
      </c>
      <c r="G286" s="1" t="str">
        <f>"sal"</f>
        <v>sal</v>
      </c>
      <c r="J286" s="1"/>
    </row>
    <row r="287" spans="1:10" x14ac:dyDescent="0.2">
      <c r="A287" s="1" t="str">
        <f>"CELLULAR POTTS MODELS:MUTISCALE EXTENSIONS AND BIOLOGICAL APPLICATIONS."</f>
        <v>CELLULAR POTTS MODELS:MUTISCALE EXTENSIONS AND BIOLOGICAL APPLICATIONS.</v>
      </c>
      <c r="B287" s="1" t="str">
        <f>"9781466514782"</f>
        <v>9781466514782</v>
      </c>
      <c r="C287" s="1">
        <v>49.2</v>
      </c>
      <c r="D287" s="1" t="str">
        <f>"GBP"</f>
        <v>GBP</v>
      </c>
      <c r="E287" s="1" t="str">
        <f>"2013"</f>
        <v>2013</v>
      </c>
      <c r="F287" s="1" t="str">
        <f>"SCIANNA"</f>
        <v>SCIANNA</v>
      </c>
      <c r="G287" s="1" t="str">
        <f>"AsarBartar"</f>
        <v>AsarBartar</v>
      </c>
      <c r="J287" s="1"/>
    </row>
    <row r="288" spans="1:10" x14ac:dyDescent="0.2">
      <c r="A288" s="1" t="str">
        <f>"CENTENNIAL OF GENERAL RELATIVITY: A CELEBRATION"</f>
        <v>CENTENNIAL OF GENERAL RELATIVITY: A CELEBRATION</v>
      </c>
      <c r="B288" s="1" t="str">
        <f>"9789814699655"</f>
        <v>9789814699655</v>
      </c>
      <c r="C288" s="1">
        <v>88.2</v>
      </c>
      <c r="D288" s="1" t="str">
        <f>"GBP"</f>
        <v>GBP</v>
      </c>
      <c r="E288" s="1" t="str">
        <f>"2017"</f>
        <v>2017</v>
      </c>
      <c r="F288" s="1" t="str">
        <f>"VASCONCELLOS CESAR"</f>
        <v>VASCONCELLOS CESAR</v>
      </c>
      <c r="G288" s="1" t="str">
        <f>"AsarBartar"</f>
        <v>AsarBartar</v>
      </c>
      <c r="J288" s="1"/>
    </row>
    <row r="289" spans="1:10" x14ac:dyDescent="0.2">
      <c r="A289" s="1" t="str">
        <f>"Chaos: Concepts. Control and Constructive Use. 2/ed"</f>
        <v>Chaos: Concepts. Control and Constructive Use. 2/ed</v>
      </c>
      <c r="B289" s="1" t="str">
        <f>"9783319424958"</f>
        <v>9783319424958</v>
      </c>
      <c r="C289" s="1">
        <v>87.29</v>
      </c>
      <c r="D289" s="1" t="str">
        <f>"EUR"</f>
        <v>EUR</v>
      </c>
      <c r="E289" s="1" t="str">
        <f>"2017"</f>
        <v>2017</v>
      </c>
      <c r="F289" s="1" t="str">
        <f>"Bolotin"</f>
        <v>Bolotin</v>
      </c>
      <c r="G289" s="1" t="str">
        <f>"negarestanabi"</f>
        <v>negarestanabi</v>
      </c>
      <c r="J289" s="1"/>
    </row>
    <row r="290" spans="1:10" x14ac:dyDescent="0.2">
      <c r="A290" s="1" t="str">
        <f>"Charge and Energy Transfer Dynamics in Molecular Systems,3e"</f>
        <v>Charge and Energy Transfer Dynamics in Molecular Systems,3e</v>
      </c>
      <c r="B290" s="1" t="str">
        <f>"9783527407323"</f>
        <v>9783527407323</v>
      </c>
      <c r="C290" s="1">
        <v>84.8</v>
      </c>
      <c r="D290" s="1" t="str">
        <f>"USD"</f>
        <v>USD</v>
      </c>
      <c r="E290" s="1" t="str">
        <f>"2011"</f>
        <v>2011</v>
      </c>
      <c r="F290" s="1" t="str">
        <f>"May"</f>
        <v>May</v>
      </c>
      <c r="G290" s="1" t="str">
        <f>"avanddanesh"</f>
        <v>avanddanesh</v>
      </c>
      <c r="J290" s="1"/>
    </row>
    <row r="291" spans="1:10" x14ac:dyDescent="0.2">
      <c r="A291" s="1" t="str">
        <f>"Chemistry and Physics of Complex Materials: Concepts and Applications"</f>
        <v>Chemistry and Physics of Complex Materials: Concepts and Applications</v>
      </c>
      <c r="B291" s="1" t="str">
        <f>"9781926895604"</f>
        <v>9781926895604</v>
      </c>
      <c r="C291" s="1">
        <v>97.6</v>
      </c>
      <c r="D291" s="1" t="str">
        <f>"GBP"</f>
        <v>GBP</v>
      </c>
      <c r="E291" s="1" t="str">
        <f>"2014"</f>
        <v>2014</v>
      </c>
      <c r="F291" s="1" t="str">
        <f>"Zbigniew Wertejuk(E"</f>
        <v>Zbigniew Wertejuk(E</v>
      </c>
      <c r="G291" s="1" t="str">
        <f>"AsarBartar"</f>
        <v>AsarBartar</v>
      </c>
      <c r="J291" s="1"/>
    </row>
    <row r="292" spans="1:10" x14ac:dyDescent="0.2">
      <c r="A292" s="1" t="str">
        <f>"Chiral Nanophotonics: Chiral Optical Properties of Plasmonic Systems"</f>
        <v>Chiral Nanophotonics: Chiral Optical Properties of Plasmonic Systems</v>
      </c>
      <c r="B292" s="1" t="str">
        <f>"9783319422633"</f>
        <v>9783319422633</v>
      </c>
      <c r="C292" s="1">
        <v>80.989999999999995</v>
      </c>
      <c r="D292" s="1" t="str">
        <f>"EUR"</f>
        <v>EUR</v>
      </c>
      <c r="E292" s="1" t="str">
        <f>"2017"</f>
        <v>2017</v>
      </c>
      <c r="F292" s="1" t="str">
        <f>"SchÃ¤ferling"</f>
        <v>SchÃ¤ferling</v>
      </c>
      <c r="G292" s="1" t="str">
        <f>"negarestanabi"</f>
        <v>negarestanabi</v>
      </c>
      <c r="J292" s="1"/>
    </row>
    <row r="293" spans="1:10" x14ac:dyDescent="0.2">
      <c r="A293" s="1" t="str">
        <f>"Chiroptical Spectroscopy: Fundamentals and Applications"</f>
        <v>Chiroptical Spectroscopy: Fundamentals and Applications</v>
      </c>
      <c r="B293" s="1" t="str">
        <f>"9781420092462"</f>
        <v>9781420092462</v>
      </c>
      <c r="C293" s="1">
        <v>124.52</v>
      </c>
      <c r="D293" s="1" t="str">
        <f>"GBP"</f>
        <v>GBP</v>
      </c>
      <c r="E293" s="1" t="str">
        <f>"2016"</f>
        <v>2016</v>
      </c>
      <c r="F293" s="1" t="str">
        <f>"POLAVARAPU"</f>
        <v>POLAVARAPU</v>
      </c>
      <c r="G293" s="1" t="str">
        <f>"sal"</f>
        <v>sal</v>
      </c>
      <c r="J293" s="1"/>
    </row>
    <row r="294" spans="1:10" x14ac:dyDescent="0.2">
      <c r="A294" s="1" t="str">
        <f>"Circuit Process Mechanism, HB"</f>
        <v>Circuit Process Mechanism, HB</v>
      </c>
      <c r="B294" s="1" t="str">
        <f>"9789381141434"</f>
        <v>9789381141434</v>
      </c>
      <c r="C294" s="1">
        <v>15.47</v>
      </c>
      <c r="D294" s="1" t="str">
        <f>"USD"</f>
        <v>USD</v>
      </c>
      <c r="E294" s="1" t="str">
        <f>"2012"</f>
        <v>2012</v>
      </c>
      <c r="F294" s="1" t="str">
        <f>"Chitta"</f>
        <v>Chitta</v>
      </c>
      <c r="G294" s="1" t="str">
        <f>"supply"</f>
        <v>supply</v>
      </c>
      <c r="J294" s="1"/>
    </row>
    <row r="295" spans="1:10" x14ac:dyDescent="0.2">
      <c r="A295" s="1" t="str">
        <f>"Classical and Quantum Cosmology"</f>
        <v>Classical and Quantum Cosmology</v>
      </c>
      <c r="B295" s="1" t="str">
        <f>"9783319411255"</f>
        <v>9783319411255</v>
      </c>
      <c r="C295" s="1">
        <v>80.989999999999995</v>
      </c>
      <c r="D295" s="1" t="str">
        <f>"EUR"</f>
        <v>EUR</v>
      </c>
      <c r="E295" s="1" t="str">
        <f>"2017"</f>
        <v>2017</v>
      </c>
      <c r="F295" s="1" t="str">
        <f>"Calcagni"</f>
        <v>Calcagni</v>
      </c>
      <c r="G295" s="1" t="str">
        <f>"negarestanabi"</f>
        <v>negarestanabi</v>
      </c>
      <c r="J295" s="1"/>
    </row>
    <row r="296" spans="1:10" x14ac:dyDescent="0.2">
      <c r="A296" s="1" t="str">
        <f>"CLASSICAL AND QUANTUM DISSIPATIVE SYSTEMS (SECOND EDITION)"</f>
        <v>CLASSICAL AND QUANTUM DISSIPATIVE SYSTEMS (SECOND EDITION)</v>
      </c>
      <c r="B296" s="1" t="str">
        <f>"9789813207912"</f>
        <v>9789813207912</v>
      </c>
      <c r="C296" s="1">
        <v>72.900000000000006</v>
      </c>
      <c r="D296" s="1" t="str">
        <f>"GBP"</f>
        <v>GBP</v>
      </c>
      <c r="E296" s="1" t="str">
        <f>"2017"</f>
        <v>2017</v>
      </c>
      <c r="F296" s="1" t="str">
        <f>"RAZAVY MOHSEN"</f>
        <v>RAZAVY MOHSEN</v>
      </c>
      <c r="G296" s="1" t="str">
        <f>"AsarBartar"</f>
        <v>AsarBartar</v>
      </c>
      <c r="J296" s="1"/>
    </row>
    <row r="297" spans="1:10" x14ac:dyDescent="0.2">
      <c r="A297" s="1" t="str">
        <f>"Classical and Quantum Dynamics: From Classical Paths to Path Integrals. 5/ed"</f>
        <v>Classical and Quantum Dynamics: From Classical Paths to Path Integrals. 5/ed</v>
      </c>
      <c r="B297" s="1" t="str">
        <f>"9783319582979"</f>
        <v>9783319582979</v>
      </c>
      <c r="C297" s="1">
        <v>62.99</v>
      </c>
      <c r="D297" s="1" t="str">
        <f>"EUR"</f>
        <v>EUR</v>
      </c>
      <c r="E297" s="1" t="str">
        <f>"2017"</f>
        <v>2017</v>
      </c>
      <c r="F297" s="1" t="str">
        <f>"Dittrich"</f>
        <v>Dittrich</v>
      </c>
      <c r="G297" s="1" t="str">
        <f>"negarestanabi"</f>
        <v>negarestanabi</v>
      </c>
      <c r="J297" s="1"/>
    </row>
    <row r="298" spans="1:10" x14ac:dyDescent="0.2">
      <c r="A298" s="1" t="str">
        <f>"Classical and Statistical Thermodynamics"</f>
        <v>Classical and Statistical Thermodynamics</v>
      </c>
      <c r="B298" s="1" t="str">
        <f>"9781783322114"</f>
        <v>9781783322114</v>
      </c>
      <c r="C298" s="1">
        <v>34.97</v>
      </c>
      <c r="D298" s="1" t="str">
        <f>"GBP"</f>
        <v>GBP</v>
      </c>
      <c r="E298" s="1" t="str">
        <f>"2016"</f>
        <v>2016</v>
      </c>
      <c r="F298" s="1" t="str">
        <f>"Rizk"</f>
        <v>Rizk</v>
      </c>
      <c r="G298" s="1" t="str">
        <f>"jahanadib"</f>
        <v>jahanadib</v>
      </c>
      <c r="J298" s="1"/>
    </row>
    <row r="299" spans="1:10" x14ac:dyDescent="0.2">
      <c r="A299" s="1" t="str">
        <f>"Classical Field Theory"</f>
        <v>Classical Field Theory</v>
      </c>
      <c r="B299" s="1" t="str">
        <f>"9781107189614"</f>
        <v>9781107189614</v>
      </c>
      <c r="C299" s="1">
        <v>46.8</v>
      </c>
      <c r="D299" s="1" t="str">
        <f>"GBP"</f>
        <v>GBP</v>
      </c>
      <c r="E299" s="1" t="str">
        <f>"2017"</f>
        <v>2017</v>
      </c>
      <c r="F299" s="1" t="str">
        <f>"Franklin"</f>
        <v>Franklin</v>
      </c>
      <c r="G299" s="1" t="str">
        <f>"arzinbooks"</f>
        <v>arzinbooks</v>
      </c>
      <c r="J299" s="1"/>
    </row>
    <row r="300" spans="1:10" x14ac:dyDescent="0.2">
      <c r="A300" s="1" t="str">
        <f>"Classical Mechanics: Hamiltonian and Lagrangian Formalism. 2/ed"</f>
        <v>Classical Mechanics: Hamiltonian and Lagrangian Formalism. 2/ed</v>
      </c>
      <c r="B300" s="1" t="str">
        <f>"9783319441467"</f>
        <v>9783319441467</v>
      </c>
      <c r="C300" s="1">
        <v>134.99</v>
      </c>
      <c r="D300" s="1" t="str">
        <f>"EUR"</f>
        <v>EUR</v>
      </c>
      <c r="E300" s="1" t="str">
        <f>"2017"</f>
        <v>2017</v>
      </c>
      <c r="F300" s="1" t="str">
        <f>"Deriglazov"</f>
        <v>Deriglazov</v>
      </c>
      <c r="G300" s="1" t="str">
        <f>"negarestanabi"</f>
        <v>negarestanabi</v>
      </c>
      <c r="J300" s="1"/>
    </row>
    <row r="301" spans="1:10" x14ac:dyDescent="0.2">
      <c r="A301" s="1" t="str">
        <f>"Classical Mechanics: Including an Introduction to the Theory of Elasticity"</f>
        <v>Classical Mechanics: Including an Introduction to the Theory of Elasticity</v>
      </c>
      <c r="B301" s="1" t="str">
        <f>"9783319487090"</f>
        <v>9783319487090</v>
      </c>
      <c r="C301" s="1">
        <v>53.99</v>
      </c>
      <c r="D301" s="1" t="str">
        <f>"EUR"</f>
        <v>EUR</v>
      </c>
      <c r="E301" s="1" t="str">
        <f>"2017"</f>
        <v>2017</v>
      </c>
      <c r="F301" s="1" t="str">
        <f>"Hentschke"</f>
        <v>Hentschke</v>
      </c>
      <c r="G301" s="1" t="str">
        <f>"negarestanabi"</f>
        <v>negarestanabi</v>
      </c>
      <c r="J301" s="1"/>
    </row>
    <row r="302" spans="1:10" x14ac:dyDescent="0.2">
      <c r="A302" s="1" t="str">
        <f>"Classical Statistical Mechanics with Nested Sampling"</f>
        <v>Classical Statistical Mechanics with Nested Sampling</v>
      </c>
      <c r="B302" s="1" t="str">
        <f>"9783319667683"</f>
        <v>9783319667683</v>
      </c>
      <c r="C302" s="1">
        <v>98.99</v>
      </c>
      <c r="D302" s="1" t="str">
        <f>"EUR"</f>
        <v>EUR</v>
      </c>
      <c r="E302" s="1" t="str">
        <f>"2017"</f>
        <v>2017</v>
      </c>
      <c r="F302" s="1" t="str">
        <f>"Baldock"</f>
        <v>Baldock</v>
      </c>
      <c r="G302" s="1" t="str">
        <f>"negarestanabi"</f>
        <v>negarestanabi</v>
      </c>
      <c r="J302" s="1"/>
    </row>
    <row r="303" spans="1:10" x14ac:dyDescent="0.2">
      <c r="A303" s="1" t="str">
        <f>"Clean Energy :Hydrogen/Fuel Cells Laboratory Manual"</f>
        <v>Clean Energy :Hydrogen/Fuel Cells Laboratory Manual</v>
      </c>
      <c r="B303" s="1" t="str">
        <f>"9789814749664"</f>
        <v>9789814749664</v>
      </c>
      <c r="C303" s="1">
        <v>27.2</v>
      </c>
      <c r="D303" s="1" t="str">
        <f>"GBP"</f>
        <v>GBP</v>
      </c>
      <c r="E303" s="1" t="str">
        <f>"2016"</f>
        <v>2016</v>
      </c>
      <c r="F303" s="1" t="str">
        <f>"K S V Santhanam"</f>
        <v>K S V Santhanam</v>
      </c>
      <c r="G303" s="1" t="str">
        <f>"AsarBartar"</f>
        <v>AsarBartar</v>
      </c>
      <c r="J303" s="1"/>
    </row>
    <row r="304" spans="1:10" x14ac:dyDescent="0.2">
      <c r="A304" s="1" t="str">
        <f>"Cluster Processes in Gases and Plasmas"</f>
        <v>Cluster Processes in Gases and Plasmas</v>
      </c>
      <c r="B304" s="1" t="str">
        <f>"9783527409433"</f>
        <v>9783527409433</v>
      </c>
      <c r="C304" s="1">
        <v>151.18</v>
      </c>
      <c r="D304" s="1" t="str">
        <f>"USD"</f>
        <v>USD</v>
      </c>
      <c r="E304" s="1" t="str">
        <f>"2010"</f>
        <v>2010</v>
      </c>
      <c r="F304" s="1" t="str">
        <f>"Smirnov"</f>
        <v>Smirnov</v>
      </c>
      <c r="G304" s="1" t="str">
        <f>"safirketab"</f>
        <v>safirketab</v>
      </c>
      <c r="J304" s="1"/>
    </row>
    <row r="305" spans="1:10" x14ac:dyDescent="0.2">
      <c r="A305" s="1" t="str">
        <f>"Coherent States in Quantum Physics"</f>
        <v>Coherent States in Quantum Physics</v>
      </c>
      <c r="B305" s="1" t="str">
        <f>"9783527407095"</f>
        <v>9783527407095</v>
      </c>
      <c r="C305" s="1">
        <v>127.5</v>
      </c>
      <c r="D305" s="1" t="str">
        <f>"USD"</f>
        <v>USD</v>
      </c>
      <c r="E305" s="1" t="str">
        <f>"2009"</f>
        <v>2009</v>
      </c>
      <c r="F305" s="1" t="str">
        <f>"Gazeau"</f>
        <v>Gazeau</v>
      </c>
      <c r="G305" s="1" t="str">
        <f>"safirketab"</f>
        <v>safirketab</v>
      </c>
      <c r="J305" s="1"/>
    </row>
    <row r="306" spans="1:10" x14ac:dyDescent="0.2">
      <c r="A306" s="1" t="str">
        <f>"Cold Atoms and Molecules"</f>
        <v>Cold Atoms and Molecules</v>
      </c>
      <c r="B306" s="1" t="str">
        <f>"9783527407507"</f>
        <v>9783527407507</v>
      </c>
      <c r="C306" s="1">
        <v>75</v>
      </c>
      <c r="D306" s="1" t="str">
        <f>"USD"</f>
        <v>USD</v>
      </c>
      <c r="E306" s="1" t="str">
        <f>"2009"</f>
        <v>2009</v>
      </c>
      <c r="F306" s="1" t="str">
        <f>"Weidemuller"</f>
        <v>Weidemuller</v>
      </c>
      <c r="G306" s="1" t="str">
        <f>"safirketab"</f>
        <v>safirketab</v>
      </c>
      <c r="J306" s="1"/>
    </row>
    <row r="307" spans="1:10" x14ac:dyDescent="0.2">
      <c r="A307" s="1" t="str">
        <f>"Collective Phenomena In Macroscopic Systems"</f>
        <v>Collective Phenomena In Macroscopic Systems</v>
      </c>
      <c r="B307" s="1" t="str">
        <f>"9789812707055"</f>
        <v>9789812707055</v>
      </c>
      <c r="C307" s="1">
        <v>31.5</v>
      </c>
      <c r="D307" s="1" t="str">
        <f>"GBP"</f>
        <v>GBP</v>
      </c>
      <c r="E307" s="1" t="str">
        <f>"2007"</f>
        <v>2007</v>
      </c>
      <c r="F307" s="1" t="str">
        <f>"Bertin G Et Al"</f>
        <v>Bertin G Et Al</v>
      </c>
      <c r="G307" s="1" t="str">
        <f>"kowkab"</f>
        <v>kowkab</v>
      </c>
      <c r="J307" s="1"/>
    </row>
    <row r="308" spans="1:10" x14ac:dyDescent="0.2">
      <c r="A308" s="1" t="str">
        <f>"Collective Phenomena in Synchrotron Radiation Sources"</f>
        <v>Collective Phenomena in Synchrotron Radiation Sources</v>
      </c>
      <c r="B308" s="1" t="str">
        <f>"9783540343127"</f>
        <v>9783540343127</v>
      </c>
      <c r="C308" s="1">
        <v>79.989999999999995</v>
      </c>
      <c r="D308" s="1" t="str">
        <f>"USD"</f>
        <v>USD</v>
      </c>
      <c r="E308" s="1" t="str">
        <f>"2006"</f>
        <v>2006</v>
      </c>
      <c r="F308" s="1" t="str">
        <f>"Detection Khan,S."</f>
        <v>Detection Khan,S.</v>
      </c>
      <c r="G308" s="1" t="str">
        <f>"safirketab"</f>
        <v>safirketab</v>
      </c>
      <c r="J308" s="1"/>
    </row>
    <row r="309" spans="1:10" x14ac:dyDescent="0.2">
      <c r="A309" s="1" t="str">
        <f>"COLLEGE PHYSICS, VOLUME 2"</f>
        <v>COLLEGE PHYSICS, VOLUME 2</v>
      </c>
      <c r="B309" s="1" t="str">
        <f>"9781111430085"</f>
        <v>9781111430085</v>
      </c>
      <c r="C309" s="1">
        <v>14.69</v>
      </c>
      <c r="D309" s="1" t="str">
        <f>"GBP"</f>
        <v>GBP</v>
      </c>
      <c r="E309" s="1" t="str">
        <f>"2012"</f>
        <v>2012</v>
      </c>
      <c r="F309" s="1" t="str">
        <f>"SERWAY/VUILLE"</f>
        <v>SERWAY/VUILLE</v>
      </c>
      <c r="G309" s="1" t="str">
        <f>"AsarBartar"</f>
        <v>AsarBartar</v>
      </c>
      <c r="J309" s="1"/>
    </row>
    <row r="310" spans="1:10" x14ac:dyDescent="0.2">
      <c r="A310" s="1" t="str">
        <f>"COLLEGE PHYSICS, VOLUME 2, INTERNATIONAL EDITION"</f>
        <v>COLLEGE PHYSICS, VOLUME 2, INTERNATIONAL EDITION</v>
      </c>
      <c r="B310" s="1" t="str">
        <f>"9781111571108"</f>
        <v>9781111571108</v>
      </c>
      <c r="C310" s="1">
        <v>13.49</v>
      </c>
      <c r="D310" s="1" t="str">
        <f>"GBP"</f>
        <v>GBP</v>
      </c>
      <c r="E310" s="1" t="str">
        <f>"2013"</f>
        <v>2013</v>
      </c>
      <c r="F310" s="1" t="str">
        <f>"GIORDANO"</f>
        <v>GIORDANO</v>
      </c>
      <c r="G310" s="1" t="str">
        <f>"AsarBartar"</f>
        <v>AsarBartar</v>
      </c>
      <c r="J310" s="1"/>
    </row>
    <row r="311" spans="1:10" x14ac:dyDescent="0.2">
      <c r="A311" s="1" t="str">
        <f>"Collider Physics within the Standard Model: A Primer"</f>
        <v>Collider Physics within the Standard Model: A Primer</v>
      </c>
      <c r="B311" s="1" t="str">
        <f>"9783319519197"</f>
        <v>9783319519197</v>
      </c>
      <c r="C311" s="1">
        <v>44.99</v>
      </c>
      <c r="D311" s="1" t="str">
        <f>"EUR"</f>
        <v>EUR</v>
      </c>
      <c r="E311" s="1" t="str">
        <f>"2017"</f>
        <v>2017</v>
      </c>
      <c r="F311" s="1" t="str">
        <f>"Altarelli"</f>
        <v>Altarelli</v>
      </c>
      <c r="G311" s="1" t="str">
        <f>"negarestanabi"</f>
        <v>negarestanabi</v>
      </c>
      <c r="J311" s="1"/>
    </row>
    <row r="312" spans="1:10" x14ac:dyDescent="0.2">
      <c r="A312" s="1" t="str">
        <f>"Collider: The Search for the World's Smallest Particles"</f>
        <v>Collider: The Search for the World's Smallest Particles</v>
      </c>
      <c r="B312" s="1" t="str">
        <f>"9780470643914"</f>
        <v>9780470643914</v>
      </c>
      <c r="C312" s="1">
        <v>11.95</v>
      </c>
      <c r="D312" s="1" t="str">
        <f>"USD"</f>
        <v>USD</v>
      </c>
      <c r="E312" s="1" t="str">
        <f>"2010"</f>
        <v>2010</v>
      </c>
      <c r="F312" s="1" t="str">
        <f>"Halpern"</f>
        <v>Halpern</v>
      </c>
      <c r="G312" s="1" t="str">
        <f>"safirketab"</f>
        <v>safirketab</v>
      </c>
      <c r="J312" s="1"/>
    </row>
    <row r="313" spans="1:10" x14ac:dyDescent="0.2">
      <c r="A313" s="1" t="str">
        <f>"Collision Phenomena in Liquids and Solids"</f>
        <v>Collision Phenomena in Liquids and Solids</v>
      </c>
      <c r="B313" s="1" t="str">
        <f>"9781107147904"</f>
        <v>9781107147904</v>
      </c>
      <c r="C313" s="1">
        <v>136</v>
      </c>
      <c r="D313" s="1" t="str">
        <f>"GBP"</f>
        <v>GBP</v>
      </c>
      <c r="E313" s="1" t="str">
        <f>"2017"</f>
        <v>2017</v>
      </c>
      <c r="F313" s="1" t="str">
        <f>"Yarin"</f>
        <v>Yarin</v>
      </c>
      <c r="G313" s="1" t="str">
        <f>"arzinbooks"</f>
        <v>arzinbooks</v>
      </c>
      <c r="J313" s="1"/>
    </row>
    <row r="314" spans="1:10" x14ac:dyDescent="0.2">
      <c r="A314" s="1" t="str">
        <f>"Color Quality of Semiconductor and Conventional Light Sources"</f>
        <v>Color Quality of Semiconductor and Conventional Light Sources</v>
      </c>
      <c r="B314" s="1" t="str">
        <f>"9783527341665"</f>
        <v>9783527341665</v>
      </c>
      <c r="C314" s="1">
        <v>184.5</v>
      </c>
      <c r="D314" s="1" t="str">
        <f>"USD"</f>
        <v>USD</v>
      </c>
      <c r="E314" s="1" t="str">
        <f>"2017"</f>
        <v>2017</v>
      </c>
      <c r="F314" s="1" t="str">
        <f>"Khanh"</f>
        <v>Khanh</v>
      </c>
      <c r="G314" s="1" t="str">
        <f>"avanddanesh"</f>
        <v>avanddanesh</v>
      </c>
      <c r="J314" s="1"/>
    </row>
    <row r="315" spans="1:10" x14ac:dyDescent="0.2">
      <c r="A315" s="1" t="str">
        <f>"Colour: How We See It and How We Use It"</f>
        <v>Colour: How We See It and How We Use It</v>
      </c>
      <c r="B315" s="1" t="str">
        <f>"9781786340856"</f>
        <v>9781786340856</v>
      </c>
      <c r="C315" s="1">
        <v>23.8</v>
      </c>
      <c r="D315" s="1" t="str">
        <f>"GBP"</f>
        <v>GBP</v>
      </c>
      <c r="E315" s="1" t="str">
        <f>"2016"</f>
        <v>2016</v>
      </c>
      <c r="F315" s="1" t="str">
        <f>"Michael Mark Woolfs"</f>
        <v>Michael Mark Woolfs</v>
      </c>
      <c r="G315" s="1" t="str">
        <f>"AsarBartar"</f>
        <v>AsarBartar</v>
      </c>
      <c r="J315" s="1"/>
    </row>
    <row r="316" spans="1:10" x14ac:dyDescent="0.2">
      <c r="A316" s="1" t="str">
        <f>"Comets as Tracers of Solar System Formation and Evolution"</f>
        <v>Comets as Tracers of Solar System Formation and Evolution</v>
      </c>
      <c r="B316" s="1" t="str">
        <f>"9789402411027"</f>
        <v>9789402411027</v>
      </c>
      <c r="C316" s="1">
        <v>134.99</v>
      </c>
      <c r="D316" s="1" t="str">
        <f>"EUR"</f>
        <v>EUR</v>
      </c>
      <c r="E316" s="1" t="str">
        <f>"2017"</f>
        <v>2017</v>
      </c>
      <c r="F316" s="1" t="str">
        <f>"Mandt"</f>
        <v>Mandt</v>
      </c>
      <c r="G316" s="1" t="str">
        <f>"negarestanabi"</f>
        <v>negarestanabi</v>
      </c>
      <c r="J316" s="1"/>
    </row>
    <row r="317" spans="1:10" x14ac:dyDescent="0.2">
      <c r="A317" s="1" t="str">
        <f>"Communication Acoustics: An Introduction to Speech, Audio and Psychoacoustics"</f>
        <v>Communication Acoustics: An Introduction to Speech, Audio and Psychoacoustics</v>
      </c>
      <c r="B317" s="1" t="str">
        <f>"9781118866542"</f>
        <v>9781118866542</v>
      </c>
      <c r="C317" s="1">
        <v>72</v>
      </c>
      <c r="D317" s="1" t="str">
        <f>"USD"</f>
        <v>USD</v>
      </c>
      <c r="E317" s="1" t="str">
        <f>"2015"</f>
        <v>2015</v>
      </c>
      <c r="F317" s="1" t="str">
        <f>"Pulkki"</f>
        <v>Pulkki</v>
      </c>
      <c r="G317" s="1" t="str">
        <f>"avanddanesh"</f>
        <v>avanddanesh</v>
      </c>
      <c r="J317" s="1"/>
    </row>
    <row r="318" spans="1:10" x14ac:dyDescent="0.2">
      <c r="A318" s="1" t="str">
        <f>"Compendium of Biophysics"</f>
        <v>Compendium of Biophysics</v>
      </c>
      <c r="B318" s="1" t="str">
        <f>"9781119160250"</f>
        <v>9781119160250</v>
      </c>
      <c r="C318" s="1">
        <v>224.1</v>
      </c>
      <c r="D318" s="1" t="str">
        <f>"USD"</f>
        <v>USD</v>
      </c>
      <c r="E318" s="1" t="str">
        <f>"2017"</f>
        <v>2017</v>
      </c>
      <c r="F318" s="1" t="str">
        <f>"Rubin"</f>
        <v>Rubin</v>
      </c>
      <c r="G318" s="1" t="str">
        <f>"avanddanesh"</f>
        <v>avanddanesh</v>
      </c>
      <c r="J318" s="1"/>
    </row>
    <row r="319" spans="1:10" x14ac:dyDescent="0.2">
      <c r="A319" s="1" t="str">
        <f>"Compressible Aerodynamics"</f>
        <v>Compressible Aerodynamics</v>
      </c>
      <c r="B319" s="1" t="str">
        <f>"9781848211414"</f>
        <v>9781848211414</v>
      </c>
      <c r="C319" s="1">
        <v>84</v>
      </c>
      <c r="D319" s="1" t="str">
        <f>"USD"</f>
        <v>USD</v>
      </c>
      <c r="E319" s="1" t="str">
        <f>"2010"</f>
        <v>2010</v>
      </c>
      <c r="F319" s="1" t="str">
        <f>"DÃ©lery"</f>
        <v>DÃ©lery</v>
      </c>
      <c r="G319" s="1" t="str">
        <f>"avanddanesh"</f>
        <v>avanddanesh</v>
      </c>
      <c r="J319" s="1"/>
    </row>
    <row r="320" spans="1:10" x14ac:dyDescent="0.2">
      <c r="A320" s="1" t="str">
        <f>"Computability in Analysis and Physics"</f>
        <v>Computability in Analysis and Physics</v>
      </c>
      <c r="B320" s="1" t="str">
        <f>"9781107168442"</f>
        <v>9781107168442</v>
      </c>
      <c r="C320" s="1">
        <v>80.8</v>
      </c>
      <c r="D320" s="1" t="str">
        <f>"GBP"</f>
        <v>GBP</v>
      </c>
      <c r="E320" s="1" t="str">
        <f>"2017"</f>
        <v>2017</v>
      </c>
      <c r="F320" s="1" t="str">
        <f>"Pour-El"</f>
        <v>Pour-El</v>
      </c>
      <c r="G320" s="1" t="str">
        <f>"arzinbooks"</f>
        <v>arzinbooks</v>
      </c>
      <c r="J320" s="1"/>
    </row>
    <row r="321" spans="1:10" x14ac:dyDescent="0.2">
      <c r="A321" s="1" t="str">
        <f>"Computational Acoustics: Theory and Implementation"</f>
        <v>Computational Acoustics: Theory and Implementation</v>
      </c>
      <c r="B321" s="1" t="str">
        <f>"9781119277286"</f>
        <v>9781119277286</v>
      </c>
      <c r="C321" s="1">
        <v>117</v>
      </c>
      <c r="D321" s="1" t="str">
        <f>"USD"</f>
        <v>USD</v>
      </c>
      <c r="E321" s="1" t="str">
        <f>"2018"</f>
        <v>2018</v>
      </c>
      <c r="F321" s="1" t="str">
        <f>"Bergman"</f>
        <v>Bergman</v>
      </c>
      <c r="G321" s="1" t="str">
        <f>"avanddanesh"</f>
        <v>avanddanesh</v>
      </c>
      <c r="J321" s="1"/>
    </row>
    <row r="322" spans="1:10" x14ac:dyDescent="0.2">
      <c r="A322" s="1" t="str">
        <f>"Computational Fluid Dynamics And Heat Transfer  : Emerging Topics, HB"</f>
        <v>Computational Fluid Dynamics And Heat Transfer  : Emerging Topics, HB</v>
      </c>
      <c r="B322" s="1" t="str">
        <f>"9781845641443"</f>
        <v>9781845641443</v>
      </c>
      <c r="C322" s="1">
        <v>136.5</v>
      </c>
      <c r="D322" s="1" t="str">
        <f>"GBP"</f>
        <v>GBP</v>
      </c>
      <c r="E322" s="1" t="str">
        <f>"2010"</f>
        <v>2010</v>
      </c>
      <c r="F322" s="1" t="str">
        <f>"Amano"</f>
        <v>Amano</v>
      </c>
      <c r="G322" s="1" t="str">
        <f>"supply"</f>
        <v>supply</v>
      </c>
      <c r="J322" s="1"/>
    </row>
    <row r="323" spans="1:10" x14ac:dyDescent="0.2">
      <c r="A323" s="1" t="str">
        <f>"Computational Fluid Dynamics Simulation of Spray Dryers: An Engineerâ€™s Guide (Advances in Drying Science &amp; Technology)"</f>
        <v>Computational Fluid Dynamics Simulation of Spray Dryers: An Engineerâ€™s Guide (Advances in Drying Science &amp; Technology)</v>
      </c>
      <c r="B323" s="1" t="str">
        <f>"9781498724647"</f>
        <v>9781498724647</v>
      </c>
      <c r="C323" s="1">
        <v>107.73</v>
      </c>
      <c r="D323" s="1" t="str">
        <f>"GBP"</f>
        <v>GBP</v>
      </c>
      <c r="E323" s="1" t="str">
        <f>"2016"</f>
        <v>2016</v>
      </c>
      <c r="F323" s="1" t="str">
        <f>"WOO"</f>
        <v>WOO</v>
      </c>
      <c r="G323" s="1" t="str">
        <f>"sal"</f>
        <v>sal</v>
      </c>
      <c r="J323" s="1"/>
    </row>
    <row r="324" spans="1:10" x14ac:dyDescent="0.2">
      <c r="A324" s="1" t="str">
        <f>"Computational Methods for Physics and Mathematics"</f>
        <v>Computational Methods for Physics and Mathematics</v>
      </c>
      <c r="B324" s="1" t="str">
        <f>"9781783322121"</f>
        <v>9781783322121</v>
      </c>
      <c r="C324" s="1">
        <v>41.97</v>
      </c>
      <c r="D324" s="1" t="str">
        <f>"GBP"</f>
        <v>GBP</v>
      </c>
      <c r="E324" s="1" t="str">
        <f>"2016"</f>
        <v>2016</v>
      </c>
      <c r="F324" s="1" t="str">
        <f>"Kushwaha"</f>
        <v>Kushwaha</v>
      </c>
      <c r="G324" s="1" t="str">
        <f>"jahanadib"</f>
        <v>jahanadib</v>
      </c>
      <c r="J324" s="1"/>
    </row>
    <row r="325" spans="1:10" x14ac:dyDescent="0.2">
      <c r="A325" s="1" t="str">
        <f>"Computational Models for CO2 Geo-sequestration &amp; Compressed Air Energy Storage (Sustainable Energy Developments)"</f>
        <v>Computational Models for CO2 Geo-sequestration &amp; Compressed Air Energy Storage (Sustainable Energy Developments)</v>
      </c>
      <c r="B325" s="1" t="str">
        <f>"9781138015203"</f>
        <v>9781138015203</v>
      </c>
      <c r="C325" s="1">
        <v>108</v>
      </c>
      <c r="D325" s="1" t="str">
        <f>"GBP"</f>
        <v>GBP</v>
      </c>
      <c r="E325" s="1" t="str">
        <f>"2014"</f>
        <v>2014</v>
      </c>
      <c r="F325" s="1" t="str">
        <f>"Jochen Bundschuh(Ed"</f>
        <v>Jochen Bundschuh(Ed</v>
      </c>
      <c r="G325" s="1" t="str">
        <f>"AsarBartar"</f>
        <v>AsarBartar</v>
      </c>
      <c r="J325" s="1"/>
    </row>
    <row r="326" spans="1:10" x14ac:dyDescent="0.2">
      <c r="A326" s="1" t="str">
        <f>"Computational Multiscale Modeling of Fluids and Solids: Theory and Applications. 2/ed"</f>
        <v>Computational Multiscale Modeling of Fluids and Solids: Theory and Applications. 2/ed</v>
      </c>
      <c r="B326" s="1" t="str">
        <f>"9783662532225"</f>
        <v>9783662532225</v>
      </c>
      <c r="C326" s="1">
        <v>112.49</v>
      </c>
      <c r="D326" s="1" t="str">
        <f>"EUR"</f>
        <v>EUR</v>
      </c>
      <c r="E326" s="1" t="str">
        <f>"2017"</f>
        <v>2017</v>
      </c>
      <c r="F326" s="1" t="str">
        <f>"Steinhauser"</f>
        <v>Steinhauser</v>
      </c>
      <c r="G326" s="1" t="str">
        <f>"negarestanabi"</f>
        <v>negarestanabi</v>
      </c>
      <c r="J326" s="1"/>
    </row>
    <row r="327" spans="1:10" x14ac:dyDescent="0.2">
      <c r="A327" s="1" t="str">
        <f>"Computational Physics: Problem Solving with Python,3e"</f>
        <v>Computational Physics: Problem Solving with Python,3e</v>
      </c>
      <c r="B327" s="1" t="str">
        <f>"9783527413157"</f>
        <v>9783527413157</v>
      </c>
      <c r="C327" s="1">
        <v>108</v>
      </c>
      <c r="D327" s="1" t="str">
        <f>"USD"</f>
        <v>USD</v>
      </c>
      <c r="E327" s="1" t="str">
        <f>"2015"</f>
        <v>2015</v>
      </c>
      <c r="F327" s="1" t="str">
        <f>"Landau"</f>
        <v>Landau</v>
      </c>
      <c r="G327" s="1" t="str">
        <f>"avanddanesh"</f>
        <v>avanddanesh</v>
      </c>
      <c r="J327" s="1"/>
    </row>
    <row r="328" spans="1:10" x14ac:dyDescent="0.2">
      <c r="A328" s="1" t="str">
        <f>"Computational Physics: Simulation of Classical and Quantum Systems. 3/ed"</f>
        <v>Computational Physics: Simulation of Classical and Quantum Systems. 3/ed</v>
      </c>
      <c r="B328" s="1" t="str">
        <f>"9783319610870"</f>
        <v>9783319610870</v>
      </c>
      <c r="C328" s="1">
        <v>71.989999999999995</v>
      </c>
      <c r="D328" s="1" t="str">
        <f>"EUR"</f>
        <v>EUR</v>
      </c>
      <c r="E328" s="1" t="str">
        <f>"2017"</f>
        <v>2017</v>
      </c>
      <c r="F328" s="1" t="str">
        <f>"Scherer"</f>
        <v>Scherer</v>
      </c>
      <c r="G328" s="1" t="str">
        <f>"negarestanabi"</f>
        <v>negarestanabi</v>
      </c>
      <c r="J328" s="1"/>
    </row>
    <row r="329" spans="1:10" x14ac:dyDescent="0.2">
      <c r="A329" s="1" t="str">
        <f>"Computational Strong-Field Quantum DynamicsIntense Light-Matter Interactions"</f>
        <v>Computational Strong-Field Quantum DynamicsIntense Light-Matter Interactions</v>
      </c>
      <c r="B329" s="1" t="str">
        <f>"9783110417258"</f>
        <v>9783110417258</v>
      </c>
      <c r="C329" s="1">
        <v>62.95</v>
      </c>
      <c r="D329" s="1" t="str">
        <f>"EUR"</f>
        <v>EUR</v>
      </c>
      <c r="E329" s="1" t="str">
        <f>"2017"</f>
        <v>2017</v>
      </c>
      <c r="F329" s="1" t="str">
        <f>"Dieter Bauer(Editor"</f>
        <v>Dieter Bauer(Editor</v>
      </c>
      <c r="G329" s="1" t="str">
        <f>"AsarBartar"</f>
        <v>AsarBartar</v>
      </c>
      <c r="J329" s="1"/>
    </row>
    <row r="330" spans="1:10" x14ac:dyDescent="0.2">
      <c r="A330" s="1" t="str">
        <f>"CONCEPTS IN PARTICLE PHYSICS: A CONCISE INTRODUCTION TO THE STANDARD MODEL"</f>
        <v>CONCEPTS IN PARTICLE PHYSICS: A CONCISE INTRODUCTION TO THE STANDARD MODEL</v>
      </c>
      <c r="B330" s="1" t="str">
        <f>"9789813227552"</f>
        <v>9789813227552</v>
      </c>
      <c r="C330" s="1">
        <v>77.400000000000006</v>
      </c>
      <c r="D330" s="1" t="str">
        <f>"GBP"</f>
        <v>GBP</v>
      </c>
      <c r="E330" s="1" t="str">
        <f>"2018"</f>
        <v>2018</v>
      </c>
      <c r="F330" s="1" t="str">
        <f>"NAIR V PARAMESWARAN"</f>
        <v>NAIR V PARAMESWARAN</v>
      </c>
      <c r="G330" s="1" t="str">
        <f>"AsarBartar"</f>
        <v>AsarBartar</v>
      </c>
      <c r="J330" s="1"/>
    </row>
    <row r="331" spans="1:10" x14ac:dyDescent="0.2">
      <c r="A331" s="1" t="str">
        <f>"Concepts of Electrodynamics"</f>
        <v>Concepts of Electrodynamics</v>
      </c>
      <c r="B331" s="1" t="str">
        <f>"9781842659632"</f>
        <v>9781842659632</v>
      </c>
      <c r="C331" s="1">
        <v>31.47</v>
      </c>
      <c r="D331" s="1" t="str">
        <f>"GBP"</f>
        <v>GBP</v>
      </c>
      <c r="E331" s="1" t="str">
        <f>"2016"</f>
        <v>2016</v>
      </c>
      <c r="F331" s="1" t="str">
        <f>"Kumar"</f>
        <v>Kumar</v>
      </c>
      <c r="G331" s="1" t="str">
        <f>"jahanadib"</f>
        <v>jahanadib</v>
      </c>
      <c r="J331" s="1"/>
    </row>
    <row r="332" spans="1:10" x14ac:dyDescent="0.2">
      <c r="A332" s="1" t="str">
        <f>"Conceptual Evolution of Newtonian and Relativistic Mechanics"</f>
        <v>Conceptual Evolution of Newtonian and Relativistic Mechanics</v>
      </c>
      <c r="B332" s="1" t="str">
        <f>"9789811062520"</f>
        <v>9789811062520</v>
      </c>
      <c r="C332" s="1">
        <v>49.49</v>
      </c>
      <c r="D332" s="1" t="str">
        <f>"EUR"</f>
        <v>EUR</v>
      </c>
      <c r="E332" s="1" t="str">
        <f>"2018"</f>
        <v>2018</v>
      </c>
      <c r="F332" s="1" t="str">
        <f>"Ghosh"</f>
        <v>Ghosh</v>
      </c>
      <c r="G332" s="1" t="str">
        <f>"negarestanabi"</f>
        <v>negarestanabi</v>
      </c>
      <c r="J332" s="1"/>
    </row>
    <row r="333" spans="1:10" x14ac:dyDescent="0.2">
      <c r="A333" s="1" t="str">
        <f>"Conductors. Semiconductors. Superconductors: An Introduction to Solid State Physics. 2/ed"</f>
        <v>Conductors. Semiconductors. Superconductors: An Introduction to Solid State Physics. 2/ed</v>
      </c>
      <c r="B333" s="1" t="str">
        <f>"9783319240084"</f>
        <v>9783319240084</v>
      </c>
      <c r="C333" s="1">
        <v>49.49</v>
      </c>
      <c r="D333" s="1" t="str">
        <f>"EUR"</f>
        <v>EUR</v>
      </c>
      <c r="E333" s="1" t="str">
        <f>"2016"</f>
        <v>2016</v>
      </c>
      <c r="F333" s="1" t="str">
        <f>"Huebener"</f>
        <v>Huebener</v>
      </c>
      <c r="G333" s="1" t="str">
        <f>"negarestanabi"</f>
        <v>negarestanabi</v>
      </c>
      <c r="J333" s="1"/>
    </row>
    <row r="334" spans="1:10" x14ac:dyDescent="0.2">
      <c r="A334" s="1" t="str">
        <f>"Continuum Theory and Modeling of Thermoelectric Elements"</f>
        <v>Continuum Theory and Modeling of Thermoelectric Elements</v>
      </c>
      <c r="B334" s="1" t="str">
        <f>"9783527413379"</f>
        <v>9783527413379</v>
      </c>
      <c r="C334" s="1">
        <v>161.5</v>
      </c>
      <c r="D334" s="1" t="str">
        <f>"USD"</f>
        <v>USD</v>
      </c>
      <c r="E334" s="1" t="str">
        <f>"2016"</f>
        <v>2016</v>
      </c>
      <c r="F334" s="1" t="str">
        <f>"Goupil"</f>
        <v>Goupil</v>
      </c>
      <c r="G334" s="1" t="str">
        <f>"avanddanesh"</f>
        <v>avanddanesh</v>
      </c>
      <c r="J334" s="1"/>
    </row>
    <row r="335" spans="1:10" x14ac:dyDescent="0.2">
      <c r="A335" s="1" t="str">
        <f>"Continuum Thermodynamics Part II: Applications and Examples (Advances in Mathematics for Applied Sciences)"</f>
        <v>Continuum Thermodynamics Part II: Applications and Examples (Advances in Mathematics for Applied Sciences)</v>
      </c>
      <c r="B335" s="1" t="str">
        <f>"9789814412377"</f>
        <v>9789814412377</v>
      </c>
      <c r="C335" s="1">
        <v>97.75</v>
      </c>
      <c r="D335" s="1" t="str">
        <f>"GBP"</f>
        <v>GBP</v>
      </c>
      <c r="E335" s="1" t="str">
        <f>"2015"</f>
        <v>2015</v>
      </c>
      <c r="F335" s="1" t="str">
        <f>"Krzysztof Wilmanski"</f>
        <v>Krzysztof Wilmanski</v>
      </c>
      <c r="G335" s="1" t="str">
        <f>"AsarBartar"</f>
        <v>AsarBartar</v>
      </c>
      <c r="J335" s="1"/>
    </row>
    <row r="336" spans="1:10" x14ac:dyDescent="0.2">
      <c r="A336" s="1" t="str">
        <f>"Continuum Thermomechanics"</f>
        <v>Continuum Thermomechanics</v>
      </c>
      <c r="B336" s="1" t="str">
        <f>"9783764372651"</f>
        <v>9783764372651</v>
      </c>
      <c r="C336" s="1">
        <v>48</v>
      </c>
      <c r="D336" s="1" t="str">
        <f>"USD"</f>
        <v>USD</v>
      </c>
      <c r="E336" s="1" t="str">
        <f>"2005"</f>
        <v>2005</v>
      </c>
      <c r="F336" s="1" t="str">
        <f>"Berm?dez Castro,A."</f>
        <v>Berm?dez Castro,A.</v>
      </c>
      <c r="G336" s="1" t="str">
        <f>"safirketab"</f>
        <v>safirketab</v>
      </c>
      <c r="J336" s="1"/>
    </row>
    <row r="337" spans="1:10" x14ac:dyDescent="0.2">
      <c r="A337" s="1" t="str">
        <f>"Control of Magnetotransport in Quantum Billiards: Theory. Computation and Applications"</f>
        <v>Control of Magnetotransport in Quantum Billiards: Theory. Computation and Applications</v>
      </c>
      <c r="B337" s="1" t="str">
        <f>"9783319398310"</f>
        <v>9783319398310</v>
      </c>
      <c r="C337" s="1">
        <v>40.49</v>
      </c>
      <c r="D337" s="1" t="str">
        <f>"EUR"</f>
        <v>EUR</v>
      </c>
      <c r="E337" s="1" t="str">
        <f>"2017"</f>
        <v>2017</v>
      </c>
      <c r="F337" s="1" t="str">
        <f>"Morfonios"</f>
        <v>Morfonios</v>
      </c>
      <c r="G337" s="1" t="str">
        <f>"negarestanabi"</f>
        <v>negarestanabi</v>
      </c>
      <c r="J337" s="1"/>
    </row>
    <row r="338" spans="1:10" x14ac:dyDescent="0.2">
      <c r="A338" s="1" t="str">
        <f>"Control of Quantum Systems: Theory and Methods"</f>
        <v>Control of Quantum Systems: Theory and Methods</v>
      </c>
      <c r="B338" s="1" t="str">
        <f>"9781118608128"</f>
        <v>9781118608128</v>
      </c>
      <c r="C338" s="1">
        <v>112.5</v>
      </c>
      <c r="D338" s="1" t="str">
        <f>"USD"</f>
        <v>USD</v>
      </c>
      <c r="E338" s="1" t="str">
        <f>"2014"</f>
        <v>2014</v>
      </c>
      <c r="F338" s="1" t="str">
        <f>"Cong"</f>
        <v>Cong</v>
      </c>
      <c r="G338" s="1" t="str">
        <f>"avanddanesh"</f>
        <v>avanddanesh</v>
      </c>
      <c r="J338" s="1"/>
    </row>
    <row r="339" spans="1:10" x14ac:dyDescent="0.2">
      <c r="A339" s="1" t="str">
        <f>"CONTROLLING STEADY-STATE AND DYNAMICAL PROPERTIES OF ATOMIC OPTICAL BISTABILITY"</f>
        <v>CONTROLLING STEADY-STATE AND DYNAMICAL PROPERTIES OF ATOMIC OPTICAL BISTABILITY</v>
      </c>
      <c r="B339" s="1" t="str">
        <f>"9789814307550"</f>
        <v>9789814307550</v>
      </c>
      <c r="C339" s="1">
        <v>47.4</v>
      </c>
      <c r="D339" s="1" t="str">
        <f>"GBP"</f>
        <v>GBP</v>
      </c>
      <c r="E339" s="1" t="str">
        <f>"2012"</f>
        <v>2012</v>
      </c>
      <c r="F339" s="1" t="str">
        <f>"JOSHI AMITABH ET AL"</f>
        <v>JOSHI AMITABH ET AL</v>
      </c>
      <c r="G339" s="1" t="str">
        <f>"AsarBartar"</f>
        <v>AsarBartar</v>
      </c>
      <c r="J339" s="1"/>
    </row>
    <row r="340" spans="1:10" x14ac:dyDescent="0.2">
      <c r="A340" s="1" t="str">
        <f>"Cooking Cosmos: Unraveling the Mysteries of the Universe"</f>
        <v>Cooking Cosmos: Unraveling the Mysteries of the Universe</v>
      </c>
      <c r="B340" s="1" t="str">
        <f>"9789813145771"</f>
        <v>9789813145771</v>
      </c>
      <c r="C340" s="1">
        <v>17</v>
      </c>
      <c r="D340" s="1" t="str">
        <f>"GBP"</f>
        <v>GBP</v>
      </c>
      <c r="E340" s="1" t="str">
        <f>"2016"</f>
        <v>2016</v>
      </c>
      <c r="F340" s="1" t="str">
        <f>"Asis Kumar Chaudhur"</f>
        <v>Asis Kumar Chaudhur</v>
      </c>
      <c r="G340" s="1" t="str">
        <f>"AsarBartar"</f>
        <v>AsarBartar</v>
      </c>
      <c r="J340" s="1"/>
    </row>
    <row r="341" spans="1:10" x14ac:dyDescent="0.2">
      <c r="A341" s="1" t="str">
        <f>"Coronal Seismology"</f>
        <v>Coronal Seismology</v>
      </c>
      <c r="B341" s="1" t="str">
        <f>"9783527409945"</f>
        <v>9783527409945</v>
      </c>
      <c r="C341" s="1">
        <v>102</v>
      </c>
      <c r="D341" s="1" t="str">
        <f>"USD"</f>
        <v>USD</v>
      </c>
      <c r="E341" s="1" t="str">
        <f>"2012"</f>
        <v>2012</v>
      </c>
      <c r="F341" s="1" t="str">
        <f>"Stepanov"</f>
        <v>Stepanov</v>
      </c>
      <c r="G341" s="1" t="str">
        <f>"avanddanesh"</f>
        <v>avanddanesh</v>
      </c>
      <c r="J341" s="1"/>
    </row>
    <row r="342" spans="1:10" x14ac:dyDescent="0.2">
      <c r="A342" s="1" t="str">
        <f>"Correlations in Condensed Matter under Extreme Conditions: A tribute to Renato Pucci on the occasion of his 70th birthday"</f>
        <v>Correlations in Condensed Matter under Extreme Conditions: A tribute to Renato Pucci on the occasion of his 70th birthday</v>
      </c>
      <c r="B342" s="1" t="str">
        <f>"9783319536637"</f>
        <v>9783319536637</v>
      </c>
      <c r="C342" s="1">
        <v>107.99</v>
      </c>
      <c r="D342" s="1" t="str">
        <f>"EUR"</f>
        <v>EUR</v>
      </c>
      <c r="E342" s="1" t="str">
        <f>"2017"</f>
        <v>2017</v>
      </c>
      <c r="F342" s="1" t="str">
        <f>"Angilella"</f>
        <v>Angilella</v>
      </c>
      <c r="G342" s="1" t="str">
        <f>"negarestanabi"</f>
        <v>negarestanabi</v>
      </c>
      <c r="J342" s="1"/>
    </row>
    <row r="343" spans="1:10" x14ac:dyDescent="0.2">
      <c r="A343" s="1" t="str">
        <f>"COSMIC PARADOXES (SECOND EDITION)"</f>
        <v>COSMIC PARADOXES (SECOND EDITION)</v>
      </c>
      <c r="B343" s="1" t="str">
        <f>"9789813141568"</f>
        <v>9789813141568</v>
      </c>
      <c r="C343" s="1">
        <v>36</v>
      </c>
      <c r="D343" s="1" t="str">
        <f>"GBP"</f>
        <v>GBP</v>
      </c>
      <c r="E343" s="1" t="str">
        <f>"2017"</f>
        <v>2017</v>
      </c>
      <c r="F343" s="1" t="str">
        <f>"GONZALO JULIO A"</f>
        <v>GONZALO JULIO A</v>
      </c>
      <c r="G343" s="1" t="str">
        <f>"AsarBartar"</f>
        <v>AsarBartar</v>
      </c>
      <c r="J343" s="1"/>
    </row>
    <row r="344" spans="1:10" x14ac:dyDescent="0.2">
      <c r="A344" s="1" t="str">
        <f>"Cosmic Rays and Particle Physics"</f>
        <v>Cosmic Rays and Particle Physics</v>
      </c>
      <c r="B344" s="1" t="str">
        <f>"9780521016469"</f>
        <v>9780521016469</v>
      </c>
      <c r="C344" s="1">
        <v>40.5</v>
      </c>
      <c r="D344" s="1" t="str">
        <f>"GBP"</f>
        <v>GBP</v>
      </c>
      <c r="E344" s="1" t="str">
        <f>"2016"</f>
        <v>2016</v>
      </c>
      <c r="F344" s="1" t="str">
        <f>"THOMAS K. GAISSER , "</f>
        <v xml:space="preserve">THOMAS K. GAISSER , </v>
      </c>
      <c r="G344" s="1" t="str">
        <f>"arzinbooks"</f>
        <v>arzinbooks</v>
      </c>
      <c r="J344" s="1"/>
    </row>
    <row r="345" spans="1:10" x14ac:dyDescent="0.2">
      <c r="A345" s="1" t="str">
        <f>"Cosmology for Physicists (Series in Astronomy and Astrophysics)"</f>
        <v>Cosmology for Physicists (Series in Astronomy and Astrophysics)</v>
      </c>
      <c r="B345" s="1" t="str">
        <f>"9781498755313"</f>
        <v>9781498755313</v>
      </c>
      <c r="C345" s="1">
        <v>44.99</v>
      </c>
      <c r="D345" s="1" t="str">
        <f>"GBP"</f>
        <v>GBP</v>
      </c>
      <c r="E345" s="1" t="str">
        <f>"2016"</f>
        <v>2016</v>
      </c>
      <c r="F345" s="1" t="str">
        <f>"LYTH"</f>
        <v>LYTH</v>
      </c>
      <c r="G345" s="1" t="str">
        <f>"sal"</f>
        <v>sal</v>
      </c>
      <c r="J345" s="1"/>
    </row>
    <row r="346" spans="1:10" x14ac:dyDescent="0.2">
      <c r="A346" s="1" t="str">
        <f>"Cosmology with MATLAB: With Companion Media Pack"</f>
        <v>Cosmology with MATLAB: With Companion Media Pack</v>
      </c>
      <c r="B346" s="1" t="str">
        <f>"9789813108394"</f>
        <v>9789813108394</v>
      </c>
      <c r="C346" s="1">
        <v>55.25</v>
      </c>
      <c r="D346" s="1" t="str">
        <f>"GBP"</f>
        <v>GBP</v>
      </c>
      <c r="E346" s="1" t="str">
        <f>"2016"</f>
        <v>2016</v>
      </c>
      <c r="F346" s="1" t="str">
        <f>"Dan Green"</f>
        <v>Dan Green</v>
      </c>
      <c r="G346" s="1" t="str">
        <f>"AsarBartar"</f>
        <v>AsarBartar</v>
      </c>
      <c r="J346" s="1"/>
    </row>
    <row r="347" spans="1:10" x14ac:dyDescent="0.2">
      <c r="A347" s="1" t="str">
        <f>"COSMOLOGY, GRAVITATIONAL WAVES AND PARTICLES - PROCEEDINGS OF THE CONFERENCE"</f>
        <v>COSMOLOGY, GRAVITATIONAL WAVES AND PARTICLES - PROCEEDINGS OF THE CONFERENCE</v>
      </c>
      <c r="B347" s="1" t="str">
        <f>"9789813231795"</f>
        <v>9789813231795</v>
      </c>
      <c r="C347" s="1">
        <v>101.7</v>
      </c>
      <c r="D347" s="1" t="str">
        <f>"GBP"</f>
        <v>GBP</v>
      </c>
      <c r="E347" s="1" t="str">
        <f>"2018"</f>
        <v>2018</v>
      </c>
      <c r="F347" s="1" t="str">
        <f>"FRITZSCH HARALD"</f>
        <v>FRITZSCH HARALD</v>
      </c>
      <c r="G347" s="1" t="str">
        <f>"AsarBartar"</f>
        <v>AsarBartar</v>
      </c>
      <c r="J347" s="1"/>
    </row>
    <row r="348" spans="1:10" x14ac:dyDescent="0.2">
      <c r="A348" s="1" t="str">
        <f>"Countering Nuclear and Radiological Terrorism"</f>
        <v>Countering Nuclear and Radiological Terrorism</v>
      </c>
      <c r="B348" s="1" t="str">
        <f>"9781402049200"</f>
        <v>9781402049200</v>
      </c>
      <c r="C348" s="1">
        <v>60</v>
      </c>
      <c r="D348" s="1" t="str">
        <f>"USD"</f>
        <v>USD</v>
      </c>
      <c r="E348" s="1" t="str">
        <f>"2006"</f>
        <v>2006</v>
      </c>
      <c r="F348" s="1" t="str">
        <f>"Apikyan,S.(Eds)"</f>
        <v>Apikyan,S.(Eds)</v>
      </c>
      <c r="G348" s="1" t="str">
        <f>"safirketab"</f>
        <v>safirketab</v>
      </c>
      <c r="J348" s="1"/>
    </row>
    <row r="349" spans="1:10" x14ac:dyDescent="0.2">
      <c r="A349" s="1" t="str">
        <f>"CPT AND LORENTZ SYMMETRY - PROCEEDINGS OF THE SEVENTH MEETING"</f>
        <v>CPT AND LORENTZ SYMMETRY - PROCEEDINGS OF THE SEVENTH MEETING</v>
      </c>
      <c r="B349" s="1" t="str">
        <f>"9789813148499"</f>
        <v>9789813148499</v>
      </c>
      <c r="C349" s="1">
        <v>110.7</v>
      </c>
      <c r="D349" s="1" t="str">
        <f>"GBP"</f>
        <v>GBP</v>
      </c>
      <c r="E349" s="1" t="str">
        <f>"2017"</f>
        <v>2017</v>
      </c>
      <c r="F349" s="1" t="str">
        <f>"KOSTELECKY ALAN"</f>
        <v>KOSTELECKY ALAN</v>
      </c>
      <c r="G349" s="1" t="str">
        <f>"AsarBartar"</f>
        <v>AsarBartar</v>
      </c>
      <c r="J349" s="1"/>
    </row>
    <row r="350" spans="1:10" x14ac:dyDescent="0.2">
      <c r="A350" s="1" t="str">
        <f>"CRC Handbook of Chemistry and Physics, 97th Edition"</f>
        <v>CRC Handbook of Chemistry and Physics, 97th Edition</v>
      </c>
      <c r="B350" s="1" t="str">
        <f>"9781498754286"</f>
        <v>9781498754286</v>
      </c>
      <c r="C350" s="1">
        <v>107.95</v>
      </c>
      <c r="D350" s="1" t="str">
        <f>"GBP"</f>
        <v>GBP</v>
      </c>
      <c r="E350" s="1" t="str">
        <f>"2015"</f>
        <v>2015</v>
      </c>
      <c r="F350" s="1" t="str">
        <f>"William M. Haynes(E"</f>
        <v>William M. Haynes(E</v>
      </c>
      <c r="G350" s="1" t="str">
        <f>"AsarBartar"</f>
        <v>AsarBartar</v>
      </c>
      <c r="J350" s="1"/>
    </row>
    <row r="351" spans="1:10" x14ac:dyDescent="0.2">
      <c r="A351" s="1" t="str">
        <f>"Critical Currents and Superconductivity: Ferromagnetism Coexistence in High-Tc Oxides"</f>
        <v>Critical Currents and Superconductivity: Ferromagnetism Coexistence in High-Tc Oxides</v>
      </c>
      <c r="B351" s="1" t="str">
        <f>"9781498775106"</f>
        <v>9781498775106</v>
      </c>
      <c r="C351" s="1">
        <v>91.8</v>
      </c>
      <c r="D351" s="1" t="str">
        <f>"GBP"</f>
        <v>GBP</v>
      </c>
      <c r="E351" s="1" t="str">
        <f>"2016"</f>
        <v>2016</v>
      </c>
      <c r="F351" s="1" t="str">
        <f>"KHENE"</f>
        <v>KHENE</v>
      </c>
      <c r="G351" s="1" t="str">
        <f>"sal"</f>
        <v>sal</v>
      </c>
      <c r="J351" s="1"/>
    </row>
    <row r="352" spans="1:10" x14ac:dyDescent="0.2">
      <c r="A352" s="1" t="str">
        <f>"Criticality in Neural Systems"</f>
        <v>Criticality in Neural Systems</v>
      </c>
      <c r="B352" s="1" t="str">
        <f>"9783527411047"</f>
        <v>9783527411047</v>
      </c>
      <c r="C352" s="1">
        <v>159</v>
      </c>
      <c r="D352" s="1" t="str">
        <f>"USD"</f>
        <v>USD</v>
      </c>
      <c r="E352" s="1" t="str">
        <f>"2014"</f>
        <v>2014</v>
      </c>
      <c r="F352" s="1" t="str">
        <f>"Plenz"</f>
        <v>Plenz</v>
      </c>
      <c r="G352" s="1" t="str">
        <f>"avanddanesh"</f>
        <v>avanddanesh</v>
      </c>
      <c r="J352" s="1"/>
    </row>
    <row r="353" spans="1:10" x14ac:dyDescent="0.2">
      <c r="A353" s="1" t="str">
        <f>"Cryogenic Heat Transfer, Second Edition"</f>
        <v>Cryogenic Heat Transfer, Second Edition</v>
      </c>
      <c r="B353" s="1" t="str">
        <f>"9781482227444"</f>
        <v>9781482227444</v>
      </c>
      <c r="C353" s="1">
        <v>122.4</v>
      </c>
      <c r="D353" s="1" t="str">
        <f>"GBP"</f>
        <v>GBP</v>
      </c>
      <c r="E353" s="1" t="str">
        <f>"2016"</f>
        <v>2016</v>
      </c>
      <c r="F353" s="1" t="str">
        <f>"BARRON"</f>
        <v>BARRON</v>
      </c>
      <c r="G353" s="1" t="str">
        <f>"sal"</f>
        <v>sal</v>
      </c>
      <c r="J353" s="1"/>
    </row>
    <row r="354" spans="1:10" x14ac:dyDescent="0.2">
      <c r="A354" s="1" t="str">
        <f>"Cryogenic Heat Transfer, Second Edition"</f>
        <v>Cryogenic Heat Transfer, Second Edition</v>
      </c>
      <c r="B354" s="1" t="str">
        <f>"9781482227444"</f>
        <v>9781482227444</v>
      </c>
      <c r="C354" s="1">
        <v>107.95</v>
      </c>
      <c r="D354" s="1" t="str">
        <f>"GBP"</f>
        <v>GBP</v>
      </c>
      <c r="E354" s="1" t="str">
        <f>"2016"</f>
        <v>2016</v>
      </c>
      <c r="F354" s="1" t="str">
        <f>"Randall F. Barron,G"</f>
        <v>Randall F. Barron,G</v>
      </c>
      <c r="G354" s="1" t="str">
        <f>"AsarBartar"</f>
        <v>AsarBartar</v>
      </c>
      <c r="J354" s="1"/>
    </row>
    <row r="355" spans="1:10" x14ac:dyDescent="0.2">
      <c r="A355" s="1" t="str">
        <f>"Crystallography and Surface Structure: An Introduction for Surface Scientists and Nanoscientists,2e"</f>
        <v>Crystallography and Surface Structure: An Introduction for Surface Scientists and Nanoscientists,2e</v>
      </c>
      <c r="B355" s="1" t="str">
        <f>"9783527339709"</f>
        <v>9783527339709</v>
      </c>
      <c r="C355" s="1">
        <v>140.30000000000001</v>
      </c>
      <c r="D355" s="1" t="str">
        <f>"USD"</f>
        <v>USD</v>
      </c>
      <c r="E355" s="1" t="str">
        <f>"2016"</f>
        <v>2016</v>
      </c>
      <c r="F355" s="1" t="str">
        <f>"Hermann"</f>
        <v>Hermann</v>
      </c>
      <c r="G355" s="1" t="str">
        <f>"avanddanesh"</f>
        <v>avanddanesh</v>
      </c>
      <c r="J355" s="1"/>
    </row>
    <row r="356" spans="1:10" x14ac:dyDescent="0.2">
      <c r="A356" s="1" t="str">
        <f>"Cyberemotions: Collective Emotions in Cyberspace"</f>
        <v>Cyberemotions: Collective Emotions in Cyberspace</v>
      </c>
      <c r="B356" s="1" t="str">
        <f>"9783319436371"</f>
        <v>9783319436371</v>
      </c>
      <c r="C356" s="1">
        <v>98.99</v>
      </c>
      <c r="D356" s="1" t="str">
        <f>"EUR"</f>
        <v>EUR</v>
      </c>
      <c r="E356" s="1" t="str">
        <f>"2017"</f>
        <v>2017</v>
      </c>
      <c r="F356" s="1" t="str">
        <f>"Holyst"</f>
        <v>Holyst</v>
      </c>
      <c r="G356" s="1" t="str">
        <f>"negarestanabi"</f>
        <v>negarestanabi</v>
      </c>
      <c r="J356" s="1"/>
    </row>
    <row r="357" spans="1:10" x14ac:dyDescent="0.2">
      <c r="A357" s="1" t="str">
        <f>"Cybernetical Physics"</f>
        <v>Cybernetical Physics</v>
      </c>
      <c r="B357" s="1" t="str">
        <f>"9783540462750"</f>
        <v>9783540462750</v>
      </c>
      <c r="C357" s="1">
        <v>72</v>
      </c>
      <c r="D357" s="1" t="str">
        <f>"USD"</f>
        <v>USD</v>
      </c>
      <c r="E357" s="1" t="str">
        <f>"2007"</f>
        <v>2007</v>
      </c>
      <c r="F357" s="1" t="str">
        <f>"Fradkov,A."</f>
        <v>Fradkov,A.</v>
      </c>
      <c r="G357" s="1" t="str">
        <f>"safirketab"</f>
        <v>safirketab</v>
      </c>
      <c r="J357" s="1"/>
    </row>
    <row r="358" spans="1:10" x14ac:dyDescent="0.2">
      <c r="A358" s="1" t="str">
        <f>"Data Analysis Techniques for Physical Scientists"</f>
        <v>Data Analysis Techniques for Physical Scientists</v>
      </c>
      <c r="B358" s="1" t="str">
        <f>"9781108416788"</f>
        <v>9781108416788</v>
      </c>
      <c r="C358" s="1">
        <v>59.5</v>
      </c>
      <c r="D358" s="1" t="str">
        <f>"GBP"</f>
        <v>GBP</v>
      </c>
      <c r="E358" s="1" t="str">
        <f>"2017"</f>
        <v>2017</v>
      </c>
      <c r="F358" s="1" t="str">
        <f>"Pruneau"</f>
        <v>Pruneau</v>
      </c>
      <c r="G358" s="1" t="str">
        <f>"arzinbooks"</f>
        <v>arzinbooks</v>
      </c>
      <c r="J358" s="1"/>
    </row>
    <row r="359" spans="1:10" x14ac:dyDescent="0.2">
      <c r="A359" s="1" t="str">
        <f>"Dawn of Fluid Dynamics: A Discipline between Science and Technology"</f>
        <v>Dawn of Fluid Dynamics: A Discipline between Science and Technology</v>
      </c>
      <c r="B359" s="1" t="str">
        <f>"9783527405138"</f>
        <v>9783527405138</v>
      </c>
      <c r="C359" s="1">
        <v>47.6</v>
      </c>
      <c r="D359" s="1" t="str">
        <f>"USD"</f>
        <v>USD</v>
      </c>
      <c r="E359" s="1" t="str">
        <f>"2006"</f>
        <v>2006</v>
      </c>
      <c r="F359" s="1" t="str">
        <f>"Eckert"</f>
        <v>Eckert</v>
      </c>
      <c r="G359" s="1" t="str">
        <f>"avanddanesh"</f>
        <v>avanddanesh</v>
      </c>
      <c r="J359" s="1"/>
    </row>
    <row r="360" spans="1:10" x14ac:dyDescent="0.2">
      <c r="A360" s="1" t="str">
        <f>"DAYSTAR: A PEEP INTO THE WORKINGS OF THE SUN"</f>
        <v>DAYSTAR: A PEEP INTO THE WORKINGS OF THE SUN</v>
      </c>
      <c r="B360" s="1" t="str">
        <f>"9789813228528"</f>
        <v>9789813228528</v>
      </c>
      <c r="C360" s="1">
        <v>45.9</v>
      </c>
      <c r="D360" s="1" t="str">
        <f>"GBP"</f>
        <v>GBP</v>
      </c>
      <c r="E360" s="1" t="str">
        <f>"2018"</f>
        <v>2018</v>
      </c>
      <c r="F360" s="1" t="str">
        <f>"VENKATAKRISHNAN PAR"</f>
        <v>VENKATAKRISHNAN PAR</v>
      </c>
      <c r="G360" s="1" t="str">
        <f>"AsarBartar"</f>
        <v>AsarBartar</v>
      </c>
      <c r="J360" s="1"/>
    </row>
    <row r="361" spans="1:10" x14ac:dyDescent="0.2">
      <c r="A361" s="1" t="str">
        <f>"Desiccation Cracks and their Patterns: Formation and Modelling in Science and Nature"</f>
        <v>Desiccation Cracks and their Patterns: Formation and Modelling in Science and Nature</v>
      </c>
      <c r="B361" s="1" t="str">
        <f>"9783527412136"</f>
        <v>9783527412136</v>
      </c>
      <c r="C361" s="1">
        <v>140</v>
      </c>
      <c r="D361" s="1" t="str">
        <f>"USD"</f>
        <v>USD</v>
      </c>
      <c r="E361" s="1" t="str">
        <f>"2015"</f>
        <v>2015</v>
      </c>
      <c r="F361" s="1" t="str">
        <f>"Goehring"</f>
        <v>Goehring</v>
      </c>
      <c r="G361" s="1" t="str">
        <f>"avanddanesh"</f>
        <v>avanddanesh</v>
      </c>
      <c r="J361" s="1"/>
    </row>
    <row r="362" spans="1:10" x14ac:dyDescent="0.2">
      <c r="A362" s="1" t="str">
        <f>"Design of Low-temperature Domestic Heating Systems: A Guide for System Designers and Installers (FB 59)"</f>
        <v>Design of Low-temperature Domestic Heating Systems: A Guide for System Designers and Installers (FB 59)</v>
      </c>
      <c r="B362" s="1" t="str">
        <f>"9781848063433"</f>
        <v>9781848063433</v>
      </c>
      <c r="C362" s="1">
        <v>12</v>
      </c>
      <c r="D362" s="1" t="str">
        <f>"GBP"</f>
        <v>GBP</v>
      </c>
      <c r="E362" s="1" t="str">
        <f>"2013"</f>
        <v>2013</v>
      </c>
      <c r="F362" s="1" t="str">
        <f>"Will Griffiths"</f>
        <v>Will Griffiths</v>
      </c>
      <c r="G362" s="1" t="str">
        <f>"AsarBartar"</f>
        <v>AsarBartar</v>
      </c>
      <c r="J362" s="1"/>
    </row>
    <row r="363" spans="1:10" x14ac:dyDescent="0.2">
      <c r="A363" s="1" t="str">
        <f>"Designing Out Unintended Consequences When Undertaking Solid Wall Insulation"</f>
        <v>Designing Out Unintended Consequences When Undertaking Solid Wall Insulation</v>
      </c>
      <c r="B363" s="1" t="str">
        <f>"9781848064355"</f>
        <v>9781848064355</v>
      </c>
      <c r="C363" s="1">
        <v>21.25</v>
      </c>
      <c r="D363" s="1" t="str">
        <f>"GBP"</f>
        <v>GBP</v>
      </c>
      <c r="E363" s="1" t="str">
        <f>"2016"</f>
        <v>2016</v>
      </c>
      <c r="F363" s="1" t="str">
        <f>"Colin King, Carolin"</f>
        <v>Colin King, Carolin</v>
      </c>
      <c r="G363" s="1" t="str">
        <f>"AsarBartar"</f>
        <v>AsarBartar</v>
      </c>
      <c r="J363" s="1"/>
    </row>
    <row r="364" spans="1:10" x14ac:dyDescent="0.2">
      <c r="A364" s="1" t="str">
        <f>"DIAGNOSTICS OF LABORATORY AND ASTROPHYSICAL PLASMAS USING SPECTRAL LINESHAPES OF ONE-, TWO-, AND THREE-ELECTRON SYSTEMS"</f>
        <v>DIAGNOSTICS OF LABORATORY AND ASTROPHYSICAL PLASMAS USING SPECTRAL LINESHAPES OF ONE-, TWO-, AND THREE-ELECTRON SYSTEMS</v>
      </c>
      <c r="B364" s="1" t="str">
        <f>"9789814699075"</f>
        <v>9789814699075</v>
      </c>
      <c r="C364" s="1">
        <v>101.7</v>
      </c>
      <c r="D364" s="1" t="str">
        <f>"GBP"</f>
        <v>GBP</v>
      </c>
      <c r="E364" s="1" t="str">
        <f>"2017"</f>
        <v>2017</v>
      </c>
      <c r="F364" s="1" t="str">
        <f>"OKS EUGENE"</f>
        <v>OKS EUGENE</v>
      </c>
      <c r="G364" s="1" t="str">
        <f>"AsarBartar"</f>
        <v>AsarBartar</v>
      </c>
      <c r="J364" s="1"/>
    </row>
    <row r="365" spans="1:10" x14ac:dyDescent="0.2">
      <c r="A365" s="1" t="str">
        <f>"Differential Geometry and Mathematical Physics: Part II. Fibre Bundles. Topology and Gauge Fields"</f>
        <v>Differential Geometry and Mathematical Physics: Part II. Fibre Bundles. Topology and Gauge Fields</v>
      </c>
      <c r="B365" s="1" t="str">
        <f>"9789402409581"</f>
        <v>9789402409581</v>
      </c>
      <c r="C365" s="1">
        <v>146.69</v>
      </c>
      <c r="D365" s="1" t="str">
        <f>"EUR"</f>
        <v>EUR</v>
      </c>
      <c r="E365" s="1" t="str">
        <f>"2017"</f>
        <v>2017</v>
      </c>
      <c r="F365" s="1" t="str">
        <f>"Rudolph"</f>
        <v>Rudolph</v>
      </c>
      <c r="G365" s="1" t="str">
        <f>"negarestanabi"</f>
        <v>negarestanabi</v>
      </c>
      <c r="J365" s="1"/>
    </row>
    <row r="366" spans="1:10" x14ac:dyDescent="0.2">
      <c r="A366" s="1" t="str">
        <f>"Differential Rotation in Sun-like Stars from Surface Variability and Asteroseismology"</f>
        <v>Differential Rotation in Sun-like Stars from Surface Variability and Asteroseismology</v>
      </c>
      <c r="B366" s="1" t="str">
        <f>"9783319509884"</f>
        <v>9783319509884</v>
      </c>
      <c r="C366" s="1">
        <v>89.99</v>
      </c>
      <c r="D366" s="1" t="str">
        <f>"EUR"</f>
        <v>EUR</v>
      </c>
      <c r="E366" s="1" t="str">
        <f>"2017"</f>
        <v>2017</v>
      </c>
      <c r="F366" s="1" t="str">
        <f>"Nielsen"</f>
        <v>Nielsen</v>
      </c>
      <c r="G366" s="1" t="str">
        <f>"negarestanabi"</f>
        <v>negarestanabi</v>
      </c>
      <c r="J366" s="1"/>
    </row>
    <row r="367" spans="1:10" x14ac:dyDescent="0.2">
      <c r="A367" s="1" t="str">
        <f>"Diffraction-Limited Imaging With Large And Moderate Telescopes"</f>
        <v>Diffraction-Limited Imaging With Large And Moderate Telescopes</v>
      </c>
      <c r="B367" s="1" t="str">
        <f>"9789812707772"</f>
        <v>9789812707772</v>
      </c>
      <c r="C367" s="1">
        <v>28</v>
      </c>
      <c r="D367" s="1" t="str">
        <f>"GBP"</f>
        <v>GBP</v>
      </c>
      <c r="E367" s="1" t="str">
        <f>"2007"</f>
        <v>2007</v>
      </c>
      <c r="F367" s="1" t="str">
        <f>"Saha Swapan K"</f>
        <v>Saha Swapan K</v>
      </c>
      <c r="G367" s="1" t="str">
        <f>"kowkab"</f>
        <v>kowkab</v>
      </c>
      <c r="J367" s="1"/>
    </row>
    <row r="368" spans="1:10" x14ac:dyDescent="0.2">
      <c r="A368" s="1" t="str">
        <f>"Diffusion-controlled Solid State Reactions: in Alloys, Thin-Films, and Nanosystems"</f>
        <v>Diffusion-controlled Solid State Reactions: in Alloys, Thin-Films, and Nanosystems</v>
      </c>
      <c r="B368" s="1" t="str">
        <f>"9783527408849"</f>
        <v>9783527408849</v>
      </c>
      <c r="C368" s="1">
        <v>161.25</v>
      </c>
      <c r="D368" s="1" t="str">
        <f>"USD"</f>
        <v>USD</v>
      </c>
      <c r="E368" s="1" t="str">
        <f>"2010"</f>
        <v>2010</v>
      </c>
      <c r="F368" s="1" t="str">
        <f>"Gusak"</f>
        <v>Gusak</v>
      </c>
      <c r="G368" s="1" t="str">
        <f>"safirketab"</f>
        <v>safirketab</v>
      </c>
      <c r="J368" s="1"/>
    </row>
    <row r="369" spans="1:10" x14ac:dyDescent="0.2">
      <c r="A369" s="1" t="str">
        <f>"Discrete Causal Theory: Emergent Spacetime and the Causal Metric Hypothesis"</f>
        <v>Discrete Causal Theory: Emergent Spacetime and the Causal Metric Hypothesis</v>
      </c>
      <c r="B369" s="1" t="str">
        <f>"9783319500812"</f>
        <v>9783319500812</v>
      </c>
      <c r="C369" s="1">
        <v>112.49</v>
      </c>
      <c r="D369" s="1" t="str">
        <f>"EUR"</f>
        <v>EUR</v>
      </c>
      <c r="E369" s="1" t="str">
        <f>"2017"</f>
        <v>2017</v>
      </c>
      <c r="F369" s="1" t="str">
        <f>"Dribus"</f>
        <v>Dribus</v>
      </c>
      <c r="G369" s="1" t="str">
        <f>"negarestanabi"</f>
        <v>negarestanabi</v>
      </c>
      <c r="J369" s="1"/>
    </row>
    <row r="370" spans="1:10" x14ac:dyDescent="0.2">
      <c r="A370" s="1" t="str">
        <f>"Dispersion Decay and Scattering Theory"</f>
        <v>Dispersion Decay and Scattering Theory</v>
      </c>
      <c r="B370" s="1" t="str">
        <f>"9781118341827"</f>
        <v>9781118341827</v>
      </c>
      <c r="C370" s="1">
        <v>62.4</v>
      </c>
      <c r="D370" s="1" t="str">
        <f>"USD"</f>
        <v>USD</v>
      </c>
      <c r="E370" s="1" t="str">
        <f>"2012"</f>
        <v>2012</v>
      </c>
      <c r="F370" s="1" t="str">
        <f>"Komech"</f>
        <v>Komech</v>
      </c>
      <c r="G370" s="1" t="str">
        <f>"avanddanesh"</f>
        <v>avanddanesh</v>
      </c>
      <c r="J370" s="1"/>
    </row>
    <row r="371" spans="1:10" x14ac:dyDescent="0.2">
      <c r="A371" s="1" t="str">
        <f>"Dispersion Engineering for Integrated Nanophotonics"</f>
        <v>Dispersion Engineering for Integrated Nanophotonics</v>
      </c>
      <c r="B371" s="1" t="str">
        <f>"9781848215641"</f>
        <v>9781848215641</v>
      </c>
      <c r="C371" s="1">
        <v>52.5</v>
      </c>
      <c r="D371" s="1" t="str">
        <f>"USD"</f>
        <v>USD</v>
      </c>
      <c r="E371" s="1" t="str">
        <f>"2014"</f>
        <v>2014</v>
      </c>
      <c r="F371" s="1" t="str">
        <f>"Vanbsien"</f>
        <v>Vanbsien</v>
      </c>
      <c r="G371" s="1" t="str">
        <f>"avanddanesh"</f>
        <v>avanddanesh</v>
      </c>
      <c r="J371" s="1"/>
    </row>
    <row r="372" spans="1:10" x14ac:dyDescent="0.2">
      <c r="A372" s="1" t="str">
        <f>"Dissipative Phenomena in Condensed Matter"</f>
        <v>Dissipative Phenomena in Condensed Matter</v>
      </c>
      <c r="B372" s="1" t="str">
        <f>"9783540203810"</f>
        <v>9783540203810</v>
      </c>
      <c r="C372" s="1">
        <v>88</v>
      </c>
      <c r="D372" s="1" t="str">
        <f>"USD"</f>
        <v>USD</v>
      </c>
      <c r="E372" s="1" t="str">
        <f>"2004"</f>
        <v>2004</v>
      </c>
      <c r="F372" s="1" t="str">
        <f>"Dattagupta,P."</f>
        <v>Dattagupta,P.</v>
      </c>
      <c r="G372" s="1" t="str">
        <f>"safirketab"</f>
        <v>safirketab</v>
      </c>
      <c r="J372" s="1"/>
    </row>
    <row r="373" spans="1:10" x14ac:dyDescent="0.2">
      <c r="A373" s="1" t="str">
        <f>"Distribution Theory"</f>
        <v>Distribution Theory</v>
      </c>
      <c r="B373" s="1" t="str">
        <f>"9783527410835"</f>
        <v>9783527410835</v>
      </c>
      <c r="C373" s="1">
        <v>127.4</v>
      </c>
      <c r="D373" s="1" t="str">
        <f>"USD"</f>
        <v>USD</v>
      </c>
      <c r="E373" s="1" t="str">
        <f>"2013"</f>
        <v>2013</v>
      </c>
      <c r="F373" s="1" t="str">
        <f>"Teodorescu"</f>
        <v>Teodorescu</v>
      </c>
      <c r="G373" s="1" t="str">
        <f>"avanddanesh"</f>
        <v>avanddanesh</v>
      </c>
      <c r="J373" s="1"/>
    </row>
    <row r="374" spans="1:10" x14ac:dyDescent="0.2">
      <c r="A374" s="1" t="str">
        <f>"Doping of Carbon Nanotubes"</f>
        <v>Doping of Carbon Nanotubes</v>
      </c>
      <c r="B374" s="1" t="str">
        <f>"9783319558820"</f>
        <v>9783319558820</v>
      </c>
      <c r="C374" s="1">
        <v>89.99</v>
      </c>
      <c r="D374" s="1" t="str">
        <f>"EUR"</f>
        <v>EUR</v>
      </c>
      <c r="E374" s="1" t="str">
        <f>"2017"</f>
        <v>2017</v>
      </c>
      <c r="F374" s="1" t="str">
        <f>"Bulyarskiy"</f>
        <v>Bulyarskiy</v>
      </c>
      <c r="G374" s="1" t="str">
        <f>"negarestanabi"</f>
        <v>negarestanabi</v>
      </c>
      <c r="J374" s="1"/>
    </row>
    <row r="375" spans="1:10" x14ac:dyDescent="0.2">
      <c r="A375" s="1" t="str">
        <f>"Doubly Fed Induction Generators: Control for Wind Energy"</f>
        <v>Doubly Fed Induction Generators: Control for Wind Energy</v>
      </c>
      <c r="B375" s="1" t="str">
        <f>"9781498745840"</f>
        <v>9781498745840</v>
      </c>
      <c r="C375" s="1">
        <v>102.85</v>
      </c>
      <c r="D375" s="1" t="str">
        <f>"GBP"</f>
        <v>GBP</v>
      </c>
      <c r="E375" s="1" t="str">
        <f>"2016"</f>
        <v>2016</v>
      </c>
      <c r="F375" s="1" t="str">
        <f>"Edgar N. Sanchez,Ri"</f>
        <v>Edgar N. Sanchez,Ri</v>
      </c>
      <c r="G375" s="1" t="str">
        <f>"AsarBartar"</f>
        <v>AsarBartar</v>
      </c>
      <c r="J375" s="1"/>
    </row>
    <row r="376" spans="1:10" x14ac:dyDescent="0.2">
      <c r="A376" s="1" t="str">
        <f>"Dust In The Universe: Similarities And Differences"</f>
        <v>Dust In The Universe: Similarities And Differences</v>
      </c>
      <c r="B376" s="1" t="str">
        <f>"9789812562937"</f>
        <v>9789812562937</v>
      </c>
      <c r="C376" s="1">
        <v>26</v>
      </c>
      <c r="D376" s="1" t="str">
        <f>"GBP"</f>
        <v>GBP</v>
      </c>
      <c r="E376" s="1" t="str">
        <f>"2005"</f>
        <v>2005</v>
      </c>
      <c r="F376" s="1" t="str">
        <f>"Krishna Swamy K"</f>
        <v>Krishna Swamy K</v>
      </c>
      <c r="G376" s="1" t="str">
        <f>"kowkab"</f>
        <v>kowkab</v>
      </c>
      <c r="J376" s="1"/>
    </row>
    <row r="377" spans="1:10" x14ac:dyDescent="0.2">
      <c r="A377" s="1" t="str">
        <f>"DYNAMICAL FORCE SPECTROSCOPY &amp; BIOM"</f>
        <v>DYNAMICAL FORCE SPECTROSCOPY &amp; BIOM</v>
      </c>
      <c r="B377" s="1" t="str">
        <f>"9781439862377"</f>
        <v>9781439862377</v>
      </c>
      <c r="C377" s="1">
        <v>63.6</v>
      </c>
      <c r="D377" s="1" t="str">
        <f>"GBP"</f>
        <v>GBP</v>
      </c>
      <c r="E377" s="1" t="str">
        <f>"2012"</f>
        <v>2012</v>
      </c>
      <c r="F377" s="1" t="str">
        <f>"SALVATORE CANNISTRA"</f>
        <v>SALVATORE CANNISTRA</v>
      </c>
      <c r="G377" s="1" t="str">
        <f>"AsarBartar"</f>
        <v>AsarBartar</v>
      </c>
      <c r="J377" s="1"/>
    </row>
    <row r="378" spans="1:10" x14ac:dyDescent="0.2">
      <c r="A378" s="1" t="str">
        <f>"DYNAMICAL TUNNELING : THEORY AND EXPERIMENT"</f>
        <v>DYNAMICAL TUNNELING : THEORY AND EXPERIMENT</v>
      </c>
      <c r="B378" s="1" t="str">
        <f>"9781439816653"</f>
        <v>9781439816653</v>
      </c>
      <c r="C378" s="1">
        <v>29.7</v>
      </c>
      <c r="D378" s="1" t="str">
        <f>"GBP"</f>
        <v>GBP</v>
      </c>
      <c r="E378" s="1" t="str">
        <f>"2011"</f>
        <v>2011</v>
      </c>
      <c r="F378" s="1" t="str">
        <f>"KESHAVAMURTHY"</f>
        <v>KESHAVAMURTHY</v>
      </c>
      <c r="G378" s="1" t="str">
        <f>"AsarBartar"</f>
        <v>AsarBartar</v>
      </c>
      <c r="J378" s="1"/>
    </row>
    <row r="379" spans="1:10" x14ac:dyDescent="0.2">
      <c r="A379" s="1" t="str">
        <f>"Dynamics and Relativity"</f>
        <v>Dynamics and Relativity</v>
      </c>
      <c r="B379" s="1" t="str">
        <f>"9780470014608"</f>
        <v>9780470014608</v>
      </c>
      <c r="C379" s="1">
        <v>34.64</v>
      </c>
      <c r="D379" s="1" t="str">
        <f>"USD"</f>
        <v>USD</v>
      </c>
      <c r="E379" s="1" t="str">
        <f>"2009"</f>
        <v>2009</v>
      </c>
      <c r="F379" s="1" t="str">
        <f>"Forshaw"</f>
        <v>Forshaw</v>
      </c>
      <c r="G379" s="1" t="str">
        <f>"safirketab"</f>
        <v>safirketab</v>
      </c>
      <c r="J379" s="1"/>
    </row>
    <row r="380" spans="1:10" x14ac:dyDescent="0.2">
      <c r="A380" s="1" t="str">
        <f>"Dynamics at Solid State Surfaces and Interfaces: V1: Current Developments"</f>
        <v>Dynamics at Solid State Surfaces and Interfaces: V1: Current Developments</v>
      </c>
      <c r="B380" s="1" t="str">
        <f>"9783527409372"</f>
        <v>9783527409372</v>
      </c>
      <c r="C380" s="1">
        <v>142.5</v>
      </c>
      <c r="D380" s="1" t="str">
        <f>"USD"</f>
        <v>USD</v>
      </c>
      <c r="E380" s="1" t="str">
        <f>"2010"</f>
        <v>2010</v>
      </c>
      <c r="F380" s="1" t="str">
        <f>"Bovensiepen"</f>
        <v>Bovensiepen</v>
      </c>
      <c r="G380" s="1" t="str">
        <f>"safirketab"</f>
        <v>safirketab</v>
      </c>
      <c r="J380" s="1"/>
    </row>
    <row r="381" spans="1:10" x14ac:dyDescent="0.2">
      <c r="A381" s="1" t="str">
        <f>"Dynamics of Quantised Vortices in Superfluids"</f>
        <v>Dynamics of Quantised Vortices in Superfluids</v>
      </c>
      <c r="B381" s="1" t="str">
        <f>"9781107006683"</f>
        <v>9781107006683</v>
      </c>
      <c r="C381" s="1">
        <v>75</v>
      </c>
      <c r="D381" s="1" t="str">
        <f>"GBP"</f>
        <v>GBP</v>
      </c>
      <c r="E381" s="1" t="str">
        <f>"2016"</f>
        <v>2016</v>
      </c>
      <c r="F381" s="1" t="str">
        <f>"Edouard B. Sonin"</f>
        <v>Edouard B. Sonin</v>
      </c>
      <c r="G381" s="1" t="str">
        <f>"arzinbooks"</f>
        <v>arzinbooks</v>
      </c>
      <c r="J381" s="1"/>
    </row>
    <row r="382" spans="1:10" x14ac:dyDescent="0.2">
      <c r="A382" s="1" t="str">
        <f>"Earth's Magnetic Field: Understanding Geomagnetic Sources from the Earth's Interior and its Environment "</f>
        <v xml:space="preserve">Earth's Magnetic Field: Understanding Geomagnetic Sources from the Earth's Interior and its Environment </v>
      </c>
      <c r="B382" s="1" t="str">
        <f>"9789402412246"</f>
        <v>9789402412246</v>
      </c>
      <c r="C382" s="1">
        <v>161.99</v>
      </c>
      <c r="D382" s="1" t="str">
        <f>"EUR"</f>
        <v>EUR</v>
      </c>
      <c r="E382" s="1" t="str">
        <f>"2018"</f>
        <v>2018</v>
      </c>
      <c r="F382" s="1" t="str">
        <f>"Stolle"</f>
        <v>Stolle</v>
      </c>
      <c r="G382" s="1" t="str">
        <f>"negarestanabi"</f>
        <v>negarestanabi</v>
      </c>
      <c r="J382" s="1"/>
    </row>
    <row r="383" spans="1:10" x14ac:dyDescent="0.2">
      <c r="A383" s="1" t="str">
        <f>"Econodynamics: The Theory of Social Production. 3/ed"</f>
        <v>Econodynamics: The Theory of Social Production. 3/ed</v>
      </c>
      <c r="B383" s="1" t="str">
        <f>"9783319720739"</f>
        <v>9783319720739</v>
      </c>
      <c r="C383" s="1">
        <v>98.99</v>
      </c>
      <c r="D383" s="1" t="str">
        <f>"EUR"</f>
        <v>EUR</v>
      </c>
      <c r="E383" s="1" t="str">
        <f>"2018"</f>
        <v>2018</v>
      </c>
      <c r="F383" s="1" t="str">
        <f>"Pokrovskii"</f>
        <v>Pokrovskii</v>
      </c>
      <c r="G383" s="1" t="str">
        <f>"negarestanabi"</f>
        <v>negarestanabi</v>
      </c>
      <c r="J383" s="1"/>
    </row>
    <row r="384" spans="1:10" x14ac:dyDescent="0.2">
      <c r="A384" s="1" t="str">
        <f>"Econophysics and Data Driven Modelling of Market Dynamics"</f>
        <v>Econophysics and Data Driven Modelling of Market Dynamics</v>
      </c>
      <c r="B384" s="1" t="str">
        <f>"9783319084725"</f>
        <v>9783319084725</v>
      </c>
      <c r="C384" s="1">
        <v>76.489999999999995</v>
      </c>
      <c r="D384" s="1" t="str">
        <f>"EUR"</f>
        <v>EUR</v>
      </c>
      <c r="E384" s="1" t="str">
        <f>"2015"</f>
        <v>2015</v>
      </c>
      <c r="F384" s="1" t="str">
        <f>"Abergel"</f>
        <v>Abergel</v>
      </c>
      <c r="G384" s="1" t="str">
        <f>"negarestanabi"</f>
        <v>negarestanabi</v>
      </c>
      <c r="J384" s="1"/>
    </row>
    <row r="385" spans="1:10" x14ac:dyDescent="0.2">
      <c r="A385" s="1" t="str">
        <f>"Econophysics and Sociophysics: Trends and Perspectives"</f>
        <v>Econophysics and Sociophysics: Trends and Perspectives</v>
      </c>
      <c r="B385" s="1" t="str">
        <f>"9783527406708"</f>
        <v>9783527406708</v>
      </c>
      <c r="C385" s="1">
        <v>165</v>
      </c>
      <c r="D385" s="1" t="str">
        <f>"USD"</f>
        <v>USD</v>
      </c>
      <c r="E385" s="1" t="str">
        <f>"2006"</f>
        <v>2006</v>
      </c>
      <c r="F385" s="1" t="str">
        <f>"Chakrabarti-Physics"</f>
        <v>Chakrabarti-Physics</v>
      </c>
      <c r="G385" s="1" t="str">
        <f>"safirketab"</f>
        <v>safirketab</v>
      </c>
      <c r="J385" s="1"/>
    </row>
    <row r="386" spans="1:10" x14ac:dyDescent="0.2">
      <c r="A386" s="1" t="str">
        <f>"Effects of Sound on People"</f>
        <v>Effects of Sound on People</v>
      </c>
      <c r="B386" s="1" t="str">
        <f>"9781118895702"</f>
        <v>9781118895702</v>
      </c>
      <c r="C386" s="1">
        <v>85</v>
      </c>
      <c r="D386" s="1" t="str">
        <f>"USD"</f>
        <v>USD</v>
      </c>
      <c r="E386" s="1" t="str">
        <f>"2016"</f>
        <v>2016</v>
      </c>
      <c r="F386" s="1" t="str">
        <f>"Cowan"</f>
        <v>Cowan</v>
      </c>
      <c r="G386" s="1" t="str">
        <f>"avanddanesh"</f>
        <v>avanddanesh</v>
      </c>
      <c r="J386" s="1"/>
    </row>
    <row r="387" spans="1:10" x14ac:dyDescent="0.2">
      <c r="A387" s="1" t="str">
        <f>"ELECTRIC CAPITALISM RECOLONISING AFRICA ON THE POWER GRID"</f>
        <v>ELECTRIC CAPITALISM RECOLONISING AFRICA ON THE POWER GRID</v>
      </c>
      <c r="B387" s="1" t="str">
        <f>"9781844077144"</f>
        <v>9781844077144</v>
      </c>
      <c r="C387" s="1">
        <v>21</v>
      </c>
      <c r="D387" s="1" t="str">
        <f>"GBP"</f>
        <v>GBP</v>
      </c>
      <c r="E387" s="1" t="str">
        <f>"2009"</f>
        <v>2009</v>
      </c>
      <c r="F387" s="1" t="str">
        <f>"DAVID A. MCDONALD"</f>
        <v>DAVID A. MCDONALD</v>
      </c>
      <c r="G387" s="1" t="str">
        <f>"AsarBartar"</f>
        <v>AsarBartar</v>
      </c>
      <c r="J387" s="1"/>
    </row>
    <row r="388" spans="1:10" x14ac:dyDescent="0.2">
      <c r="A388" s="1" t="str">
        <f>"ELECTRICITY AND ENERGY POLICY IN BRITAIN, FRANCE AND THE UNITED STATES SINCE 1945"</f>
        <v>ELECTRICITY AND ENERGY POLICY IN BRITAIN, FRANCE AND THE UNITED STATES SINCE 1945</v>
      </c>
      <c r="B388" s="1" t="str">
        <f>"9781848445918"</f>
        <v>9781848445918</v>
      </c>
      <c r="C388" s="1">
        <v>6.75</v>
      </c>
      <c r="D388" s="1" t="str">
        <f>"GBP"</f>
        <v>GBP</v>
      </c>
      <c r="E388" s="1" t="str">
        <f>"2009"</f>
        <v>2009</v>
      </c>
      <c r="F388" s="1" t="str">
        <f>"MARTIN CHICK"</f>
        <v>MARTIN CHICK</v>
      </c>
      <c r="G388" s="1" t="str">
        <f>"AsarBartar"</f>
        <v>AsarBartar</v>
      </c>
      <c r="J388" s="1"/>
    </row>
    <row r="389" spans="1:10" x14ac:dyDescent="0.2">
      <c r="A389" s="1" t="str">
        <f>"Electrodeposition of Nanostructured Materials"</f>
        <v>Electrodeposition of Nanostructured Materials</v>
      </c>
      <c r="B389" s="1" t="str">
        <f>"9783319449197"</f>
        <v>9783319449197</v>
      </c>
      <c r="C389" s="1">
        <v>134.99</v>
      </c>
      <c r="D389" s="1" t="str">
        <f>"EUR"</f>
        <v>EUR</v>
      </c>
      <c r="E389" s="1" t="str">
        <f>"2017"</f>
        <v>2017</v>
      </c>
      <c r="F389" s="1" t="str">
        <f>"Nasirpouri"</f>
        <v>Nasirpouri</v>
      </c>
      <c r="G389" s="1" t="str">
        <f>"negarestanabi"</f>
        <v>negarestanabi</v>
      </c>
      <c r="J389" s="1"/>
    </row>
    <row r="390" spans="1:10" x14ac:dyDescent="0.2">
      <c r="A390" s="1" t="str">
        <f>"Electromagnetic Acoustic Transducers: Noncontacting Ultrasonic Measurements using EMATs. 2/ed"</f>
        <v>Electromagnetic Acoustic Transducers: Noncontacting Ultrasonic Measurements using EMATs. 2/ed</v>
      </c>
      <c r="B390" s="1" t="str">
        <f>"9784431560340"</f>
        <v>9784431560340</v>
      </c>
      <c r="C390" s="1">
        <v>107.99</v>
      </c>
      <c r="D390" s="1" t="str">
        <f>"EUR"</f>
        <v>EUR</v>
      </c>
      <c r="E390" s="1" t="str">
        <f>"2017"</f>
        <v>2017</v>
      </c>
      <c r="F390" s="1" t="str">
        <f>"Hirao"</f>
        <v>Hirao</v>
      </c>
      <c r="G390" s="1" t="str">
        <f>"negarestanabi"</f>
        <v>negarestanabi</v>
      </c>
      <c r="J390" s="1"/>
    </row>
    <row r="391" spans="1:10" x14ac:dyDescent="0.2">
      <c r="A391" s="1" t="str">
        <f>"ELECTROMAGNETIC ANALYSIS USING TRANSMISSION LINE VARIABLES (THIRD EDITION)"</f>
        <v>ELECTROMAGNETIC ANALYSIS USING TRANSMISSION LINE VARIABLES (THIRD EDITION)</v>
      </c>
      <c r="B391" s="1" t="str">
        <f>"9789813225022"</f>
        <v>9789813225022</v>
      </c>
      <c r="C391" s="1">
        <v>156.6</v>
      </c>
      <c r="D391" s="1" t="str">
        <f>"GBP"</f>
        <v>GBP</v>
      </c>
      <c r="E391" s="1" t="str">
        <f>"2018"</f>
        <v>2018</v>
      </c>
      <c r="F391" s="1" t="str">
        <f>"WEINER MAURICE"</f>
        <v>WEINER MAURICE</v>
      </c>
      <c r="G391" s="1" t="str">
        <f>"AsarBartar"</f>
        <v>AsarBartar</v>
      </c>
      <c r="J391" s="1"/>
    </row>
    <row r="392" spans="1:10" x14ac:dyDescent="0.2">
      <c r="A392" s="1" t="str">
        <f>"Electromagnetic Interactions"</f>
        <v>Electromagnetic Interactions</v>
      </c>
      <c r="B392" s="1" t="str">
        <f>"9783662528761"</f>
        <v>9783662528761</v>
      </c>
      <c r="C392" s="1">
        <v>134.99</v>
      </c>
      <c r="D392" s="1" t="str">
        <f>"EUR"</f>
        <v>EUR</v>
      </c>
      <c r="E392" s="1" t="str">
        <f>"2016"</f>
        <v>2016</v>
      </c>
      <c r="F392" s="1" t="str">
        <f>"Bosanac"</f>
        <v>Bosanac</v>
      </c>
      <c r="G392" s="1" t="str">
        <f>"negarestanabi"</f>
        <v>negarestanabi</v>
      </c>
      <c r="J392" s="1"/>
    </row>
    <row r="393" spans="1:10" x14ac:dyDescent="0.2">
      <c r="A393" s="1" t="str">
        <f>"Electromagnetic Phenomena in Matter: Statistical and Quantum Approaches"</f>
        <v>Electromagnetic Phenomena in Matter: Statistical and Quantum Approaches</v>
      </c>
      <c r="B393" s="1" t="str">
        <f>"9783527411788"</f>
        <v>9783527411788</v>
      </c>
      <c r="C393" s="1">
        <v>132</v>
      </c>
      <c r="D393" s="1" t="str">
        <f>"USD"</f>
        <v>USD</v>
      </c>
      <c r="E393" s="1" t="str">
        <f>"2015"</f>
        <v>2015</v>
      </c>
      <c r="F393" s="1" t="str">
        <f>"Toptygin"</f>
        <v>Toptygin</v>
      </c>
      <c r="G393" s="1" t="str">
        <f>"avanddanesh"</f>
        <v>avanddanesh</v>
      </c>
      <c r="J393" s="1"/>
    </row>
    <row r="394" spans="1:10" x14ac:dyDescent="0.2">
      <c r="A394" s="1" t="str">
        <f>"Electromagnetic Ultrasonic Guided Waves"</f>
        <v>Electromagnetic Ultrasonic Guided Waves</v>
      </c>
      <c r="B394" s="1" t="str">
        <f>"9789811005626"</f>
        <v>9789811005626</v>
      </c>
      <c r="C394" s="1">
        <v>134.99</v>
      </c>
      <c r="D394" s="1" t="str">
        <f>"EUR"</f>
        <v>EUR</v>
      </c>
      <c r="E394" s="1" t="str">
        <f>"2016"</f>
        <v>2016</v>
      </c>
      <c r="F394" s="1" t="str">
        <f>"Huang"</f>
        <v>Huang</v>
      </c>
      <c r="G394" s="1" t="str">
        <f>"negarestanabi"</f>
        <v>negarestanabi</v>
      </c>
      <c r="J394" s="1"/>
    </row>
    <row r="395" spans="1:10" x14ac:dyDescent="0.2">
      <c r="A395" s="1" t="str">
        <f>"Electromagnetism: Problems with Solutions, 3/e"</f>
        <v>Electromagnetism: Problems with Solutions, 3/e</v>
      </c>
      <c r="B395" s="1" t="str">
        <f>"9788120346338"</f>
        <v>9788120346338</v>
      </c>
      <c r="C395" s="1">
        <v>14.45</v>
      </c>
      <c r="D395" s="1" t="str">
        <f>"USD"</f>
        <v>USD</v>
      </c>
      <c r="E395" s="1" t="str">
        <f>"2016"</f>
        <v>2016</v>
      </c>
      <c r="F395" s="1" t="str">
        <f>"Pramanik"</f>
        <v>Pramanik</v>
      </c>
      <c r="G395" s="1" t="str">
        <f>"jahanadib"</f>
        <v>jahanadib</v>
      </c>
      <c r="J395" s="1"/>
    </row>
    <row r="396" spans="1:10" x14ac:dyDescent="0.2">
      <c r="A396" s="1" t="str">
        <f>"Electromagnetism: Problems with Solutions, 3/e"</f>
        <v>Electromagnetism: Problems with Solutions, 3/e</v>
      </c>
      <c r="B396" s="1" t="str">
        <f>"9788120346338"</f>
        <v>9788120346338</v>
      </c>
      <c r="C396" s="1">
        <v>14.45</v>
      </c>
      <c r="D396" s="1" t="str">
        <f>"USD"</f>
        <v>USD</v>
      </c>
      <c r="E396" s="1" t="str">
        <f>"2016"</f>
        <v>2016</v>
      </c>
      <c r="F396" s="1" t="str">
        <f>"Pramanik"</f>
        <v>Pramanik</v>
      </c>
      <c r="G396" s="1" t="str">
        <f>"safirketab"</f>
        <v>safirketab</v>
      </c>
      <c r="J396" s="1"/>
    </row>
    <row r="397" spans="1:10" x14ac:dyDescent="0.2">
      <c r="A397" s="1" t="str">
        <f>"Electron and Proton Kinetics and Dynamics in Flaring Atmospheres"</f>
        <v>Electron and Proton Kinetics and Dynamics in Flaring Atmospheres</v>
      </c>
      <c r="B397" s="1" t="str">
        <f>"9783527408474"</f>
        <v>9783527408474</v>
      </c>
      <c r="C397" s="1">
        <v>124.2</v>
      </c>
      <c r="D397" s="1" t="str">
        <f>"USD"</f>
        <v>USD</v>
      </c>
      <c r="E397" s="1" t="str">
        <f>"2012"</f>
        <v>2012</v>
      </c>
      <c r="F397" s="1" t="str">
        <f>"Zharkova"</f>
        <v>Zharkova</v>
      </c>
      <c r="G397" s="1" t="str">
        <f>"avanddanesh"</f>
        <v>avanddanesh</v>
      </c>
      <c r="J397" s="1"/>
    </row>
    <row r="398" spans="1:10" x14ac:dyDescent="0.2">
      <c r="A398" s="1" t="str">
        <f>"Electron Collision Processes in Atomic and Molecular Physics"</f>
        <v>Electron Collision Processes in Atomic and Molecular Physics</v>
      </c>
      <c r="B398" s="1" t="str">
        <f>"9788184873436"</f>
        <v>9788184873436</v>
      </c>
      <c r="C398" s="1">
        <v>38.15</v>
      </c>
      <c r="D398" s="1" t="str">
        <f>"GBP"</f>
        <v>GBP</v>
      </c>
      <c r="E398" s="1" t="str">
        <f>"2014"</f>
        <v>2014</v>
      </c>
      <c r="F398" s="1" t="str">
        <f>"Vinodkumar"</f>
        <v>Vinodkumar</v>
      </c>
      <c r="G398" s="1" t="str">
        <f>"jahanadib"</f>
        <v>jahanadib</v>
      </c>
      <c r="J398" s="1"/>
    </row>
    <row r="399" spans="1:10" x14ac:dyDescent="0.2">
      <c r="A399" s="1" t="str">
        <f>"Electron Cyclotron Heating of Plasmas"</f>
        <v>Electron Cyclotron Heating of Plasmas</v>
      </c>
      <c r="B399" s="1" t="str">
        <f>"9783527409167"</f>
        <v>9783527409167</v>
      </c>
      <c r="C399" s="1">
        <v>100.79</v>
      </c>
      <c r="D399" s="1" t="str">
        <f>"USD"</f>
        <v>USD</v>
      </c>
      <c r="E399" s="1" t="str">
        <f>"2009"</f>
        <v>2009</v>
      </c>
      <c r="F399" s="1" t="str">
        <f>"Guest"</f>
        <v>Guest</v>
      </c>
      <c r="G399" s="1" t="str">
        <f>"safirketab"</f>
        <v>safirketab</v>
      </c>
      <c r="J399" s="1"/>
    </row>
    <row r="400" spans="1:10" x14ac:dyDescent="0.2">
      <c r="A400" s="1" t="str">
        <f>"Electronic and Optical Properties of Conjugated Polymers (International Series of Monographs on Physics)"</f>
        <v>Electronic and Optical Properties of Conjugated Polymers (International Series of Monographs on Physics)</v>
      </c>
      <c r="B400" s="1" t="str">
        <f>"9780199677467"</f>
        <v>9780199677467</v>
      </c>
      <c r="C400" s="1">
        <v>28.8</v>
      </c>
      <c r="D400" s="1" t="str">
        <f>"GBP"</f>
        <v>GBP</v>
      </c>
      <c r="E400" s="1" t="str">
        <f>"2013"</f>
        <v>2013</v>
      </c>
      <c r="F400" s="1" t="str">
        <f>"William Barford"</f>
        <v>William Barford</v>
      </c>
      <c r="G400" s="1" t="str">
        <f>"arzinbooks"</f>
        <v>arzinbooks</v>
      </c>
      <c r="J400" s="1"/>
    </row>
    <row r="401" spans="1:10" x14ac:dyDescent="0.2">
      <c r="A401" s="1" t="str">
        <f>"Electronic Correlation Mapping from Finite"</f>
        <v>Electronic Correlation Mapping from Finite</v>
      </c>
      <c r="B401" s="1" t="str">
        <f>"9783527403509"</f>
        <v>9783527403509</v>
      </c>
      <c r="C401" s="1">
        <v>90</v>
      </c>
      <c r="D401" s="1" t="str">
        <f>"USD"</f>
        <v>USD</v>
      </c>
      <c r="E401" s="1" t="str">
        <f>"2006"</f>
        <v>2006</v>
      </c>
      <c r="F401" s="1" t="str">
        <f>"Atomic, Molecular &amp; "</f>
        <v xml:space="preserve">Atomic, Molecular &amp; </v>
      </c>
      <c r="G401" s="1" t="str">
        <f>"safirketab"</f>
        <v>safirketab</v>
      </c>
      <c r="J401" s="1"/>
    </row>
    <row r="402" spans="1:10" x14ac:dyDescent="0.2">
      <c r="A402" s="1" t="str">
        <f>"Electronic States in Crystals of Finite Size: Quantum Confinement of Bloch Waves. 2/ed"</f>
        <v>Electronic States in Crystals of Finite Size: Quantum Confinement of Bloch Waves. 2/ed</v>
      </c>
      <c r="B402" s="1" t="str">
        <f>"9789811047169"</f>
        <v>9789811047169</v>
      </c>
      <c r="C402" s="1">
        <v>107.99</v>
      </c>
      <c r="D402" s="1" t="str">
        <f>"EUR"</f>
        <v>EUR</v>
      </c>
      <c r="E402" s="1" t="str">
        <f>"2017"</f>
        <v>2017</v>
      </c>
      <c r="F402" s="1" t="str">
        <f>"Ren"</f>
        <v>Ren</v>
      </c>
      <c r="G402" s="1" t="str">
        <f>"negarestanabi"</f>
        <v>negarestanabi</v>
      </c>
      <c r="J402" s="1"/>
    </row>
    <row r="403" spans="1:10" x14ac:dyDescent="0.2">
      <c r="A403" s="1" t="str">
        <f>"Electronic Structure Calculations on Graphics Processing Units: From Quantum Chemistry to Condensed Matter Physics"</f>
        <v>Electronic Structure Calculations on Graphics Processing Units: From Quantum Chemistry to Condensed Matter Physics</v>
      </c>
      <c r="B403" s="1" t="str">
        <f>"9781118661789"</f>
        <v>9781118661789</v>
      </c>
      <c r="C403" s="1">
        <v>119</v>
      </c>
      <c r="D403" s="1" t="str">
        <f>"USD"</f>
        <v>USD</v>
      </c>
      <c r="E403" s="1" t="str">
        <f>"2016"</f>
        <v>2016</v>
      </c>
      <c r="F403" s="1" t="str">
        <f>"Walker"</f>
        <v>Walker</v>
      </c>
      <c r="G403" s="1" t="str">
        <f>"avanddanesh"</f>
        <v>avanddanesh</v>
      </c>
      <c r="J403" s="1"/>
    </row>
    <row r="404" spans="1:10" x14ac:dyDescent="0.2">
      <c r="A404" s="1" t="str">
        <f>"Electronics with Discrete Components, 1st Edition"</f>
        <v>Electronics with Discrete Components, 1st Edition</v>
      </c>
      <c r="B404" s="1" t="str">
        <f>"9780470889688"</f>
        <v>9780470889688</v>
      </c>
      <c r="C404" s="1">
        <v>21</v>
      </c>
      <c r="D404" s="1" t="str">
        <f>"USD"</f>
        <v>USD</v>
      </c>
      <c r="E404" s="1" t="str">
        <f>"2012"</f>
        <v>2012</v>
      </c>
      <c r="F404" s="1" t="str">
        <f>"Galvez"</f>
        <v>Galvez</v>
      </c>
      <c r="G404" s="1" t="str">
        <f>"avanddanesh"</f>
        <v>avanddanesh</v>
      </c>
      <c r="J404" s="1"/>
    </row>
    <row r="405" spans="1:10" x14ac:dyDescent="0.2">
      <c r="A405" s="1" t="str">
        <f>"Electro-Osmosis of Polymer Solutions: Linear and Nonlinear Behavior "</f>
        <v xml:space="preserve">Electro-Osmosis of Polymer Solutions: Linear and Nonlinear Behavior </v>
      </c>
      <c r="B405" s="1" t="str">
        <f>"9789811034237"</f>
        <v>9789811034237</v>
      </c>
      <c r="C405" s="1">
        <v>89.99</v>
      </c>
      <c r="D405" s="1" t="str">
        <f>"EUR"</f>
        <v>EUR</v>
      </c>
      <c r="E405" s="1" t="str">
        <f>"2017"</f>
        <v>2017</v>
      </c>
      <c r="F405" s="1" t="str">
        <f>"Uematsu"</f>
        <v>Uematsu</v>
      </c>
      <c r="G405" s="1" t="str">
        <f>"negarestanabi"</f>
        <v>negarestanabi</v>
      </c>
      <c r="J405" s="1"/>
    </row>
    <row r="406" spans="1:10" x14ac:dyDescent="0.2">
      <c r="A406" s="1" t="str">
        <f>"ELECTROSTATICS, HB"</f>
        <v>ELECTROSTATICS, HB</v>
      </c>
      <c r="B406" s="1" t="str">
        <f>"9789380179001"</f>
        <v>9789380179001</v>
      </c>
      <c r="C406" s="1">
        <v>30.24</v>
      </c>
      <c r="D406" s="1" t="str">
        <f>"USD"</f>
        <v>USD</v>
      </c>
      <c r="E406" s="1" t="str">
        <f>"2009"</f>
        <v>2009</v>
      </c>
      <c r="F406" s="1" t="str">
        <f>"Brewster"</f>
        <v>Brewster</v>
      </c>
      <c r="G406" s="1" t="str">
        <f>"supply"</f>
        <v>supply</v>
      </c>
      <c r="J406" s="1"/>
    </row>
    <row r="407" spans="1:10" x14ac:dyDescent="0.2">
      <c r="A407" s="1" t="str">
        <f>"Elementary Particle Physics"</f>
        <v>Elementary Particle Physics</v>
      </c>
      <c r="B407" s="1" t="str">
        <f>"9783527409662"</f>
        <v>9783527409662</v>
      </c>
      <c r="C407" s="1">
        <v>155.30000000000001</v>
      </c>
      <c r="D407" s="1" t="str">
        <f>"USD"</f>
        <v>USD</v>
      </c>
      <c r="E407" s="1" t="str">
        <f>"2013"</f>
        <v>2013</v>
      </c>
      <c r="F407" s="1" t="str">
        <f>"Nagashima"</f>
        <v>Nagashima</v>
      </c>
      <c r="G407" s="1" t="str">
        <f>"avanddanesh"</f>
        <v>avanddanesh</v>
      </c>
      <c r="J407" s="1"/>
    </row>
    <row r="408" spans="1:10" x14ac:dyDescent="0.2">
      <c r="A408" s="1" t="str">
        <f>"Elements of Solid State Physics, 4/ed."</f>
        <v>Elements of Solid State Physics, 4/ed.</v>
      </c>
      <c r="B408" s="1" t="str">
        <f>"9788120350663"</f>
        <v>9788120350663</v>
      </c>
      <c r="C408" s="1">
        <v>14.87</v>
      </c>
      <c r="D408" s="1" t="str">
        <f>"USD"</f>
        <v>USD</v>
      </c>
      <c r="E408" s="1" t="str">
        <f>"2015"</f>
        <v>2015</v>
      </c>
      <c r="F408" s="1" t="str">
        <f>"Srivastava"</f>
        <v>Srivastava</v>
      </c>
      <c r="G408" s="1" t="str">
        <f>"negarestanabi"</f>
        <v>negarestanabi</v>
      </c>
      <c r="J408" s="1"/>
    </row>
    <row r="409" spans="1:10" x14ac:dyDescent="0.2">
      <c r="A409" s="1" t="str">
        <f>"EMERGENT PHENOMENA IN ATOMIC NUCLEI FROM LARGE-SCALE MODELING: A SYMMETRY-GUIDED PERSPECTIVE"</f>
        <v>EMERGENT PHENOMENA IN ATOMIC NUCLEI FROM LARGE-SCALE MODELING: A SYMMETRY-GUIDED PERSPECTIVE</v>
      </c>
      <c r="B409" s="1" t="str">
        <f>"9789813146044"</f>
        <v>9789813146044</v>
      </c>
      <c r="C409" s="1">
        <v>108.9</v>
      </c>
      <c r="D409" s="1" t="str">
        <f>"GBP"</f>
        <v>GBP</v>
      </c>
      <c r="E409" s="1" t="str">
        <f>"2017"</f>
        <v>2017</v>
      </c>
      <c r="F409" s="1" t="str">
        <f>"LAUNEY KRISTINA D"</f>
        <v>LAUNEY KRISTINA D</v>
      </c>
      <c r="G409" s="1" t="str">
        <f>"AsarBartar"</f>
        <v>AsarBartar</v>
      </c>
      <c r="J409" s="1"/>
    </row>
    <row r="410" spans="1:10" x14ac:dyDescent="0.2">
      <c r="A410" s="1" t="str">
        <f>"Enabling Technologies for High Spectral-efficiency Coherent Optical Communication Networks"</f>
        <v>Enabling Technologies for High Spectral-efficiency Coherent Optical Communication Networks</v>
      </c>
      <c r="B410" s="1" t="str">
        <f>"9781118714768"</f>
        <v>9781118714768</v>
      </c>
      <c r="C410" s="1">
        <v>131.80000000000001</v>
      </c>
      <c r="D410" s="1" t="str">
        <f t="shared" ref="D410:D423" si="11">"USD"</f>
        <v>USD</v>
      </c>
      <c r="E410" s="1" t="str">
        <f>"2016"</f>
        <v>2016</v>
      </c>
      <c r="F410" s="1" t="str">
        <f>"Zhou"</f>
        <v>Zhou</v>
      </c>
      <c r="G410" s="1" t="str">
        <f>"avanddanesh"</f>
        <v>avanddanesh</v>
      </c>
      <c r="J410" s="1"/>
    </row>
    <row r="411" spans="1:10" x14ac:dyDescent="0.2">
      <c r="A411" s="1" t="str">
        <f>"Ency. of Applied Spectroscopy"</f>
        <v>Ency. of Applied Spectroscopy</v>
      </c>
      <c r="B411" s="1" t="str">
        <f>"9783527407736"</f>
        <v>9783527407736</v>
      </c>
      <c r="C411" s="1">
        <v>288</v>
      </c>
      <c r="D411" s="1" t="str">
        <f t="shared" si="11"/>
        <v>USD</v>
      </c>
      <c r="E411" s="1" t="str">
        <f>"2009"</f>
        <v>2009</v>
      </c>
      <c r="F411" s="1" t="str">
        <f>"Andrews"</f>
        <v>Andrews</v>
      </c>
      <c r="G411" s="1" t="str">
        <f>"safirketab"</f>
        <v>safirketab</v>
      </c>
      <c r="J411" s="1"/>
    </row>
    <row r="412" spans="1:10" x14ac:dyDescent="0.2">
      <c r="A412" s="1" t="str">
        <f>"ENCYCLOPAEDIA OF ATOMIC SPECTRA AND ATOMIC STRUCTURE, Set of 2 vols, HB"</f>
        <v>ENCYCLOPAEDIA OF ATOMIC SPECTRA AND ATOMIC STRUCTURE, Set of 2 vols, HB</v>
      </c>
      <c r="B412" s="1" t="str">
        <f>"9788126142316"</f>
        <v>9788126142316</v>
      </c>
      <c r="C412" s="1">
        <v>105</v>
      </c>
      <c r="D412" s="1" t="str">
        <f t="shared" si="11"/>
        <v>USD</v>
      </c>
      <c r="E412" s="1" t="str">
        <f>"2011"</f>
        <v>2011</v>
      </c>
      <c r="F412" s="1" t="str">
        <f>"Choudhary"</f>
        <v>Choudhary</v>
      </c>
      <c r="G412" s="1" t="str">
        <f t="shared" ref="G412:G421" si="12">"supply"</f>
        <v>supply</v>
      </c>
      <c r="J412" s="1"/>
    </row>
    <row r="413" spans="1:10" x14ac:dyDescent="0.2">
      <c r="A413" s="1" t="str">
        <f>"ENCYCLOPAEDIA OF ELECTROMAGNETISM, HB"</f>
        <v>ENCYCLOPAEDIA OF ELECTROMAGNETISM, HB</v>
      </c>
      <c r="B413" s="1" t="str">
        <f>"9788126142453"</f>
        <v>9788126142453</v>
      </c>
      <c r="C413" s="1">
        <v>58.31</v>
      </c>
      <c r="D413" s="1" t="str">
        <f t="shared" si="11"/>
        <v>USD</v>
      </c>
      <c r="E413" s="1" t="str">
        <f>"2011"</f>
        <v>2011</v>
      </c>
      <c r="F413" s="1" t="str">
        <f>"Sachdeva"</f>
        <v>Sachdeva</v>
      </c>
      <c r="G413" s="1" t="str">
        <f t="shared" si="12"/>
        <v>supply</v>
      </c>
      <c r="J413" s="1"/>
    </row>
    <row r="414" spans="1:10" x14ac:dyDescent="0.2">
      <c r="A414" s="1" t="str">
        <f>"ENCYCLOPAEDIA OF EXPERIMENTS IN PHYSICS, Set of 10 vols, HB"</f>
        <v>ENCYCLOPAEDIA OF EXPERIMENTS IN PHYSICS, Set of 10 vols, HB</v>
      </c>
      <c r="B414" s="1" t="str">
        <f>"9788180302930"</f>
        <v>9788180302930</v>
      </c>
      <c r="C414" s="1">
        <v>170.03</v>
      </c>
      <c r="D414" s="1" t="str">
        <f t="shared" si="11"/>
        <v>USD</v>
      </c>
      <c r="E414" s="1" t="str">
        <f>"2009"</f>
        <v>2009</v>
      </c>
      <c r="F414" s="1" t="str">
        <f>"Patel"</f>
        <v>Patel</v>
      </c>
      <c r="G414" s="1" t="str">
        <f t="shared" si="12"/>
        <v>supply</v>
      </c>
      <c r="J414" s="1"/>
    </row>
    <row r="415" spans="1:10" x14ac:dyDescent="0.2">
      <c r="A415" s="1" t="str">
        <f>"ENCYCLOPAEDIA OF NANO INFORMATICS, Set of 2 vols, HB"</f>
        <v>ENCYCLOPAEDIA OF NANO INFORMATICS, Set of 2 vols, HB</v>
      </c>
      <c r="B415" s="1" t="str">
        <f>"9788178885520"</f>
        <v>9788178885520</v>
      </c>
      <c r="C415" s="1">
        <v>64.540000000000006</v>
      </c>
      <c r="D415" s="1" t="str">
        <f t="shared" si="11"/>
        <v>USD</v>
      </c>
      <c r="E415" s="1" t="str">
        <f>"2008"</f>
        <v>2008</v>
      </c>
      <c r="F415" s="1" t="str">
        <f>"Chrystler"</f>
        <v>Chrystler</v>
      </c>
      <c r="G415" s="1" t="str">
        <f t="shared" si="12"/>
        <v>supply</v>
      </c>
      <c r="J415" s="1"/>
    </row>
    <row r="416" spans="1:10" x14ac:dyDescent="0.2">
      <c r="A416" s="1" t="str">
        <f>"Encyclopaedia Of Nuclear Physics, Set of 3 vols, HB"</f>
        <v>Encyclopaedia Of Nuclear Physics, Set of 3 vols, HB</v>
      </c>
      <c r="B416" s="1" t="str">
        <f>"9788180303647"</f>
        <v>9788180303647</v>
      </c>
      <c r="C416" s="1">
        <v>55.44</v>
      </c>
      <c r="D416" s="1" t="str">
        <f t="shared" si="11"/>
        <v>USD</v>
      </c>
      <c r="E416" s="1" t="str">
        <f>"2011"</f>
        <v>2011</v>
      </c>
      <c r="F416" s="1" t="str">
        <f>"Ramanujam"</f>
        <v>Ramanujam</v>
      </c>
      <c r="G416" s="1" t="str">
        <f t="shared" si="12"/>
        <v>supply</v>
      </c>
      <c r="J416" s="1"/>
    </row>
    <row r="417" spans="1:10" x14ac:dyDescent="0.2">
      <c r="A417" s="1" t="str">
        <f>"Encyclopaedia Of Optical Science : Technology And Engineering, HB"</f>
        <v>Encyclopaedia Of Optical Science : Technology And Engineering, HB</v>
      </c>
      <c r="B417" s="1" t="str">
        <f>"9788126141302"</f>
        <v>9788126141302</v>
      </c>
      <c r="C417" s="1">
        <v>35</v>
      </c>
      <c r="D417" s="1" t="str">
        <f t="shared" si="11"/>
        <v>USD</v>
      </c>
      <c r="E417" s="1" t="str">
        <f>"2009"</f>
        <v>2009</v>
      </c>
      <c r="F417" s="1" t="str">
        <f>"Bose"</f>
        <v>Bose</v>
      </c>
      <c r="G417" s="1" t="str">
        <f t="shared" si="12"/>
        <v>supply</v>
      </c>
      <c r="J417" s="1"/>
    </row>
    <row r="418" spans="1:10" x14ac:dyDescent="0.2">
      <c r="A418" s="1" t="str">
        <f>"ENCYCLOPAEDIA OF OSCILLATION AND WAVES, Set of 2 vols, HB"</f>
        <v>ENCYCLOPAEDIA OF OSCILLATION AND WAVES, Set of 2 vols, HB</v>
      </c>
      <c r="B418" s="1" t="str">
        <f>"9788126135417"</f>
        <v>9788126135417</v>
      </c>
      <c r="C418" s="1">
        <v>54.67</v>
      </c>
      <c r="D418" s="1" t="str">
        <f t="shared" si="11"/>
        <v>USD</v>
      </c>
      <c r="E418" s="1" t="str">
        <f>"2008"</f>
        <v>2008</v>
      </c>
      <c r="F418" s="1" t="str">
        <f>"Singh"</f>
        <v>Singh</v>
      </c>
      <c r="G418" s="1" t="str">
        <f t="shared" si="12"/>
        <v>supply</v>
      </c>
      <c r="J418" s="1"/>
    </row>
    <row r="419" spans="1:10" x14ac:dyDescent="0.2">
      <c r="A419" s="1" t="str">
        <f>"Encyclopaedia of Physics, Set of 5 Vols, HB"</f>
        <v>Encyclopaedia of Physics, Set of 5 Vols, HB</v>
      </c>
      <c r="B419" s="1" t="str">
        <f>"9788180303494"</f>
        <v>9788180303494</v>
      </c>
      <c r="C419" s="1">
        <v>108.36</v>
      </c>
      <c r="D419" s="1" t="str">
        <f t="shared" si="11"/>
        <v>USD</v>
      </c>
      <c r="E419" s="1" t="str">
        <f>"2012"</f>
        <v>2012</v>
      </c>
      <c r="F419" s="1" t="str">
        <f>"Sharma"</f>
        <v>Sharma</v>
      </c>
      <c r="G419" s="1" t="str">
        <f t="shared" si="12"/>
        <v>supply</v>
      </c>
      <c r="J419" s="1"/>
    </row>
    <row r="420" spans="1:10" x14ac:dyDescent="0.2">
      <c r="A420" s="1" t="str">
        <f>"Encyclopaedia Of Physics, Set of 5 vols, HB"</f>
        <v>Encyclopaedia Of Physics, Set of 5 vols, HB</v>
      </c>
      <c r="B420" s="1" t="str">
        <f>"9788190837620"</f>
        <v>9788190837620</v>
      </c>
      <c r="C420" s="1">
        <v>87.5</v>
      </c>
      <c r="D420" s="1" t="str">
        <f t="shared" si="11"/>
        <v>USD</v>
      </c>
      <c r="E420" s="1" t="str">
        <f>"2010"</f>
        <v>2010</v>
      </c>
      <c r="F420" s="1" t="str">
        <f>"Mathews"</f>
        <v>Mathews</v>
      </c>
      <c r="G420" s="1" t="str">
        <f t="shared" si="12"/>
        <v>supply</v>
      </c>
      <c r="J420" s="1"/>
    </row>
    <row r="421" spans="1:10" x14ac:dyDescent="0.2">
      <c r="A421" s="1" t="str">
        <f>"ENCYCLOPAEDIA OF THERMODYNAMICS, Set of 2 vols, HB"</f>
        <v>ENCYCLOPAEDIA OF THERMODYNAMICS, Set of 2 vols, HB</v>
      </c>
      <c r="B421" s="1" t="str">
        <f>"9788126126125"</f>
        <v>9788126126125</v>
      </c>
      <c r="C421" s="1">
        <v>59.08</v>
      </c>
      <c r="D421" s="1" t="str">
        <f t="shared" si="11"/>
        <v>USD</v>
      </c>
      <c r="E421" s="1" t="str">
        <f>"2006"</f>
        <v>2006</v>
      </c>
      <c r="F421" s="1" t="str">
        <f>"Veer"</f>
        <v>Veer</v>
      </c>
      <c r="G421" s="1" t="str">
        <f t="shared" si="12"/>
        <v>supply</v>
      </c>
      <c r="J421" s="1"/>
    </row>
    <row r="422" spans="1:10" x14ac:dyDescent="0.2">
      <c r="A422" s="1" t="str">
        <f>"Encyclopedia of Applied High Energy and Particle Physics"</f>
        <v>Encyclopedia of Applied High Energy and Particle Physics</v>
      </c>
      <c r="B422" s="1" t="str">
        <f>"9783527406913"</f>
        <v>9783527406913</v>
      </c>
      <c r="C422" s="1">
        <v>302.39</v>
      </c>
      <c r="D422" s="1" t="str">
        <f t="shared" si="11"/>
        <v>USD</v>
      </c>
      <c r="E422" s="1" t="str">
        <f>"2009"</f>
        <v>2009</v>
      </c>
      <c r="F422" s="1" t="str">
        <f>"Stock"</f>
        <v>Stock</v>
      </c>
      <c r="G422" s="1" t="str">
        <f>"safirketab"</f>
        <v>safirketab</v>
      </c>
      <c r="J422" s="1"/>
    </row>
    <row r="423" spans="1:10" x14ac:dyDescent="0.2">
      <c r="A423" s="1" t="str">
        <f>"Encyclopedia of Applied Spectroscopy"</f>
        <v>Encyclopedia of Applied Spectroscopy</v>
      </c>
      <c r="B423" s="1" t="str">
        <f>"9783527407736"</f>
        <v>9783527407736</v>
      </c>
      <c r="C423" s="1">
        <v>288</v>
      </c>
      <c r="D423" s="1" t="str">
        <f t="shared" si="11"/>
        <v>USD</v>
      </c>
      <c r="E423" s="1" t="str">
        <f>"2009"</f>
        <v>2009</v>
      </c>
      <c r="F423" s="1" t="str">
        <f>"Andrews"</f>
        <v>Andrews</v>
      </c>
      <c r="G423" s="1" t="str">
        <f>"avanddanesh"</f>
        <v>avanddanesh</v>
      </c>
      <c r="J423" s="1"/>
    </row>
    <row r="424" spans="1:10" x14ac:dyDescent="0.2">
      <c r="A424" s="1" t="str">
        <f>"Encyclopedia of Astrobiology. 2/ed"</f>
        <v>Encyclopedia of Astrobiology. 2/ed</v>
      </c>
      <c r="B424" s="1" t="str">
        <f>"9783662441848"</f>
        <v>9783662441848</v>
      </c>
      <c r="C424" s="1">
        <v>1169.99</v>
      </c>
      <c r="D424" s="1" t="str">
        <f>"EUR"</f>
        <v>EUR</v>
      </c>
      <c r="E424" s="1" t="str">
        <f>"2015"</f>
        <v>2015</v>
      </c>
      <c r="F424" s="1" t="str">
        <f>"Gargaud"</f>
        <v>Gargaud</v>
      </c>
      <c r="G424" s="1" t="str">
        <f>"negarestanabi"</f>
        <v>negarestanabi</v>
      </c>
      <c r="J424" s="1"/>
    </row>
    <row r="425" spans="1:10" x14ac:dyDescent="0.2">
      <c r="A425" s="1" t="str">
        <f>"Encyclopedia of Color Science and Technology"</f>
        <v>Encyclopedia of Color Science and Technology</v>
      </c>
      <c r="B425" s="1" t="str">
        <f>"9781441980700"</f>
        <v>9781441980700</v>
      </c>
      <c r="C425" s="1">
        <v>674.99</v>
      </c>
      <c r="D425" s="1" t="str">
        <f>"EUR"</f>
        <v>EUR</v>
      </c>
      <c r="E425" s="1" t="str">
        <f>"2016"</f>
        <v>2016</v>
      </c>
      <c r="F425" s="1" t="str">
        <f>"Luo"</f>
        <v>Luo</v>
      </c>
      <c r="G425" s="1" t="str">
        <f>"negarestanabi"</f>
        <v>negarestanabi</v>
      </c>
      <c r="J425" s="1"/>
    </row>
    <row r="426" spans="1:10" x14ac:dyDescent="0.2">
      <c r="A426" s="1" t="str">
        <f>"Encyclopedia of Thermal Packaging Set 2: Thermal Packaging Tools (A 4-Volume Set)"</f>
        <v>Encyclopedia of Thermal Packaging Set 2: Thermal Packaging Tools (A 4-Volume Set)</v>
      </c>
      <c r="B426" s="1" t="str">
        <f>"9789814327602"</f>
        <v>9789814327602</v>
      </c>
      <c r="C426" s="1">
        <v>1114.3499999999999</v>
      </c>
      <c r="D426" s="1" t="str">
        <f>"GBP"</f>
        <v>GBP</v>
      </c>
      <c r="E426" s="1" t="str">
        <f>"2015"</f>
        <v>2015</v>
      </c>
      <c r="F426" s="1" t="str">
        <f>"AVRAM BAR-COHEN(EDI"</f>
        <v>AVRAM BAR-COHEN(EDI</v>
      </c>
      <c r="G426" s="1" t="str">
        <f>"AsarBartar"</f>
        <v>AsarBartar</v>
      </c>
      <c r="J426" s="1"/>
    </row>
    <row r="427" spans="1:10" x14ac:dyDescent="0.2">
      <c r="A427" s="1" t="str">
        <f>"ENERGY (IET RENEWABLE ENERGY SERIES)"</f>
        <v>ENERGY (IET RENEWABLE ENERGY SERIES)</v>
      </c>
      <c r="B427" s="1" t="str">
        <f>"9781849191524"</f>
        <v>9781849191524</v>
      </c>
      <c r="C427" s="1">
        <v>6</v>
      </c>
      <c r="D427" s="1" t="str">
        <f>"GBP"</f>
        <v>GBP</v>
      </c>
      <c r="E427" s="1" t="str">
        <f>"2010"</f>
        <v>2010</v>
      </c>
      <c r="F427" s="1" t="str">
        <f>"CHRISTIAN NGO"</f>
        <v>CHRISTIAN NGO</v>
      </c>
      <c r="G427" s="1" t="str">
        <f>"AsarBartar"</f>
        <v>AsarBartar</v>
      </c>
      <c r="J427" s="1"/>
    </row>
    <row r="428" spans="1:10" x14ac:dyDescent="0.2">
      <c r="A428" s="1" t="str">
        <f>"ENERGY 2050 : MAKING THE TRANSITION TO A SECURE LOW CAR"</f>
        <v>ENERGY 2050 : MAKING THE TRANSITION TO A SECURE LOW CAR</v>
      </c>
      <c r="B428" s="1" t="str">
        <f>"9781849710848"</f>
        <v>9781849710848</v>
      </c>
      <c r="C428" s="1">
        <v>14.99</v>
      </c>
      <c r="D428" s="1" t="str">
        <f>"GBP"</f>
        <v>GBP</v>
      </c>
      <c r="E428" s="1" t="str">
        <f>"2011"</f>
        <v>2011</v>
      </c>
      <c r="F428" s="1" t="str">
        <f>"JIM SKEA, PAUL EKIN"</f>
        <v>JIM SKEA, PAUL EKIN</v>
      </c>
      <c r="G428" s="1" t="str">
        <f>"AsarBartar"</f>
        <v>AsarBartar</v>
      </c>
      <c r="J428" s="1"/>
    </row>
    <row r="429" spans="1:10" x14ac:dyDescent="0.2">
      <c r="A429" s="1" t="str">
        <f>"Energy and Fuel Systems Integration (Green Chemistry and Chemical Engineering)"</f>
        <v>Energy and Fuel Systems Integration (Green Chemistry and Chemical Engineering)</v>
      </c>
      <c r="B429" s="1" t="str">
        <f>"9781482253061"</f>
        <v>9781482253061</v>
      </c>
      <c r="C429" s="1">
        <v>98.6</v>
      </c>
      <c r="D429" s="1" t="str">
        <f>"GBP"</f>
        <v>GBP</v>
      </c>
      <c r="E429" s="1" t="str">
        <f>"2016"</f>
        <v>2016</v>
      </c>
      <c r="F429" s="1" t="str">
        <f>"Yatish T. Shah"</f>
        <v>Yatish T. Shah</v>
      </c>
      <c r="G429" s="1" t="str">
        <f>"AsarBartar"</f>
        <v>AsarBartar</v>
      </c>
      <c r="J429" s="1"/>
    </row>
    <row r="430" spans="1:10" x14ac:dyDescent="0.2">
      <c r="A430" s="1" t="str">
        <f>"Energy and Society: An Introduction, Second Edition"</f>
        <v>Energy and Society: An Introduction, Second Edition</v>
      </c>
      <c r="B430" s="1" t="str">
        <f>"9781439826454"</f>
        <v>9781439826454</v>
      </c>
      <c r="C430" s="1">
        <v>48</v>
      </c>
      <c r="D430" s="1" t="str">
        <f>"GBP"</f>
        <v>GBP</v>
      </c>
      <c r="E430" s="1" t="str">
        <f>"2014"</f>
        <v>2014</v>
      </c>
      <c r="F430" s="1" t="str">
        <f>"Harold H. Schobert"</f>
        <v>Harold H. Schobert</v>
      </c>
      <c r="G430" s="1" t="str">
        <f>"AsarBartar"</f>
        <v>AsarBartar</v>
      </c>
      <c r="J430" s="1"/>
    </row>
    <row r="431" spans="1:10" x14ac:dyDescent="0.2">
      <c r="A431" s="1" t="str">
        <f>"Energy Balance Climate Models"</f>
        <v>Energy Balance Climate Models</v>
      </c>
      <c r="B431" s="1" t="str">
        <f>"9783527411320"</f>
        <v>9783527411320</v>
      </c>
      <c r="C431" s="1">
        <v>193.5</v>
      </c>
      <c r="D431" s="1" t="str">
        <f>"USD"</f>
        <v>USD</v>
      </c>
      <c r="E431" s="1" t="str">
        <f>"2017"</f>
        <v>2017</v>
      </c>
      <c r="F431" s="1" t="str">
        <f>"North"</f>
        <v>North</v>
      </c>
      <c r="G431" s="1" t="str">
        <f>"avanddanesh"</f>
        <v>avanddanesh</v>
      </c>
      <c r="J431" s="1"/>
    </row>
    <row r="432" spans="1:10" x14ac:dyDescent="0.2">
      <c r="A432" s="1" t="str">
        <f>"Energy Conservation Guidebook, Third Edition"</f>
        <v>Energy Conservation Guidebook, Third Edition</v>
      </c>
      <c r="B432" s="1" t="str">
        <f>"9781482255690"</f>
        <v>9781482255690</v>
      </c>
      <c r="C432" s="1">
        <v>70.400000000000006</v>
      </c>
      <c r="D432" s="1" t="str">
        <f t="shared" ref="D432:D440" si="13">"GBP"</f>
        <v>GBP</v>
      </c>
      <c r="E432" s="1" t="str">
        <f>"2014"</f>
        <v>2014</v>
      </c>
      <c r="F432" s="1" t="str">
        <f>"Brian W. Fardo"</f>
        <v>Brian W. Fardo</v>
      </c>
      <c r="G432" s="1" t="str">
        <f t="shared" ref="G432:G440" si="14">"AsarBartar"</f>
        <v>AsarBartar</v>
      </c>
      <c r="J432" s="1"/>
    </row>
    <row r="433" spans="1:10" x14ac:dyDescent="0.2">
      <c r="A433" s="1" t="str">
        <f>"Energy for the 21st Century: Opportunities and Challenges for Liquefied Natural Gas (LNG) (New Horizons in Environmental and Energy Law Series)"</f>
        <v>Energy for the 21st Century: Opportunities and Challenges for Liquefied Natural Gas (LNG) (New Horizons in Environmental and Energy Law Series)</v>
      </c>
      <c r="B433" s="1" t="str">
        <f>"9781782544234"</f>
        <v>9781782544234</v>
      </c>
      <c r="C433" s="1">
        <v>29.75</v>
      </c>
      <c r="D433" s="1" t="str">
        <f t="shared" si="13"/>
        <v>GBP</v>
      </c>
      <c r="E433" s="1" t="str">
        <f>"2015"</f>
        <v>2015</v>
      </c>
      <c r="F433" s="1" t="str">
        <f>"Susan L. Sakmar"</f>
        <v>Susan L. Sakmar</v>
      </c>
      <c r="G433" s="1" t="str">
        <f t="shared" si="14"/>
        <v>AsarBartar</v>
      </c>
      <c r="J433" s="1"/>
    </row>
    <row r="434" spans="1:10" x14ac:dyDescent="0.2">
      <c r="A434" s="1" t="str">
        <f>"Energy from the Nucleus: The Science and Engineering of Fission and Fusion"</f>
        <v>Energy from the Nucleus: The Science and Engineering of Fission and Fusion</v>
      </c>
      <c r="B434" s="1" t="str">
        <f>"9789814689199"</f>
        <v>9789814689199</v>
      </c>
      <c r="C434" s="1">
        <v>83.3</v>
      </c>
      <c r="D434" s="1" t="str">
        <f t="shared" si="13"/>
        <v>GBP</v>
      </c>
      <c r="E434" s="1" t="str">
        <f>"2016"</f>
        <v>2016</v>
      </c>
      <c r="F434" s="1" t="str">
        <f>"Gerard M Crawley"</f>
        <v>Gerard M Crawley</v>
      </c>
      <c r="G434" s="1" t="str">
        <f t="shared" si="14"/>
        <v>AsarBartar</v>
      </c>
      <c r="J434" s="1"/>
    </row>
    <row r="435" spans="1:10" x14ac:dyDescent="0.2">
      <c r="A435" s="1" t="str">
        <f>"ENERGY IN BRAZIL: PAST, PRESENT AND FUTURE"</f>
        <v>ENERGY IN BRAZIL: PAST, PRESENT AND FUTURE</v>
      </c>
      <c r="B435" s="1" t="str">
        <f>"9781844078479"</f>
        <v>9781844078479</v>
      </c>
      <c r="C435" s="1">
        <v>28.5</v>
      </c>
      <c r="D435" s="1" t="str">
        <f t="shared" si="13"/>
        <v>GBP</v>
      </c>
      <c r="E435" s="1" t="str">
        <f>"2009"</f>
        <v>2009</v>
      </c>
      <c r="F435" s="1" t="str">
        <f>"ANTONIO DIAS LEITE"</f>
        <v>ANTONIO DIAS LEITE</v>
      </c>
      <c r="G435" s="1" t="str">
        <f t="shared" si="14"/>
        <v>AsarBartar</v>
      </c>
      <c r="J435" s="1"/>
    </row>
    <row r="436" spans="1:10" x14ac:dyDescent="0.2">
      <c r="A436" s="1" t="str">
        <f>"Energy in the 21st Century"</f>
        <v>Energy in the 21st Century</v>
      </c>
      <c r="B436" s="1" t="str">
        <f>"9789813144781"</f>
        <v>9789813144781</v>
      </c>
      <c r="C436" s="1">
        <v>45.9</v>
      </c>
      <c r="D436" s="1" t="str">
        <f t="shared" si="13"/>
        <v>GBP</v>
      </c>
      <c r="E436" s="1" t="str">
        <f>"2016"</f>
        <v>2016</v>
      </c>
      <c r="F436" s="1" t="str">
        <f>"John R Fanchi"</f>
        <v>John R Fanchi</v>
      </c>
      <c r="G436" s="1" t="str">
        <f t="shared" si="14"/>
        <v>AsarBartar</v>
      </c>
      <c r="J436" s="1"/>
    </row>
    <row r="437" spans="1:10" x14ac:dyDescent="0.2">
      <c r="A437" s="1" t="str">
        <f>"Energy Intermittency"</f>
        <v>Energy Intermittency</v>
      </c>
      <c r="B437" s="1" t="str">
        <f>"9781466516069"</f>
        <v>9781466516069</v>
      </c>
      <c r="C437" s="1">
        <v>52.7</v>
      </c>
      <c r="D437" s="1" t="str">
        <f t="shared" si="13"/>
        <v>GBP</v>
      </c>
      <c r="E437" s="1" t="str">
        <f>"2015"</f>
        <v>2015</v>
      </c>
      <c r="F437" s="1" t="str">
        <f>"Bent Sorensen"</f>
        <v>Bent Sorensen</v>
      </c>
      <c r="G437" s="1" t="str">
        <f t="shared" si="14"/>
        <v>AsarBartar</v>
      </c>
      <c r="J437" s="1"/>
    </row>
    <row r="438" spans="1:10" x14ac:dyDescent="0.2">
      <c r="A438" s="1" t="str">
        <f>"Energy Management and Conservation Handbook, Second Edition"</f>
        <v>Energy Management and Conservation Handbook, Second Edition</v>
      </c>
      <c r="B438" s="1" t="str">
        <f>"9781466585164"</f>
        <v>9781466585164</v>
      </c>
      <c r="C438" s="1">
        <v>107.95</v>
      </c>
      <c r="D438" s="1" t="str">
        <f t="shared" si="13"/>
        <v>GBP</v>
      </c>
      <c r="E438" s="1" t="str">
        <f>"2016"</f>
        <v>2016</v>
      </c>
      <c r="F438" s="1" t="str">
        <f>"D. Yogi Goswami, Fr"</f>
        <v>D. Yogi Goswami, Fr</v>
      </c>
      <c r="G438" s="1" t="str">
        <f t="shared" si="14"/>
        <v>AsarBartar</v>
      </c>
      <c r="J438" s="1"/>
    </row>
    <row r="439" spans="1:10" x14ac:dyDescent="0.2">
      <c r="A439" s="1" t="str">
        <f>"Energy Resources: Availability, Management, and Environmental Impacts (Energy and the Environment)"</f>
        <v>Energy Resources: Availability, Management, and Environmental Impacts (Energy and the Environment)</v>
      </c>
      <c r="B439" s="1" t="str">
        <f>"9781466517400"</f>
        <v>9781466517400</v>
      </c>
      <c r="C439" s="1">
        <v>88</v>
      </c>
      <c r="D439" s="1" t="str">
        <f t="shared" si="13"/>
        <v>GBP</v>
      </c>
      <c r="E439" s="1" t="str">
        <f>"2014"</f>
        <v>2014</v>
      </c>
      <c r="F439" s="1" t="str">
        <f>"Louis Theodore"</f>
        <v>Louis Theodore</v>
      </c>
      <c r="G439" s="1" t="str">
        <f t="shared" si="14"/>
        <v>AsarBartar</v>
      </c>
      <c r="J439" s="1"/>
    </row>
    <row r="440" spans="1:10" x14ac:dyDescent="0.2">
      <c r="A440" s="1" t="str">
        <f>"Energy Studies (3rd Edition)"</f>
        <v>Energy Studies (3rd Edition)</v>
      </c>
      <c r="B440" s="1" t="str">
        <f>"9781848168503"</f>
        <v>9781848168503</v>
      </c>
      <c r="C440" s="1">
        <v>80</v>
      </c>
      <c r="D440" s="1" t="str">
        <f t="shared" si="13"/>
        <v>GBP</v>
      </c>
      <c r="E440" s="1" t="str">
        <f>"2014"</f>
        <v>2014</v>
      </c>
      <c r="F440" s="1" t="str">
        <f>"D W Shepherd"</f>
        <v>D W Shepherd</v>
      </c>
      <c r="G440" s="1" t="str">
        <f t="shared" si="14"/>
        <v>AsarBartar</v>
      </c>
      <c r="J440" s="1"/>
    </row>
    <row r="441" spans="1:10" x14ac:dyDescent="0.2">
      <c r="A441" s="1" t="str">
        <f>"Engineering Physics"</f>
        <v>Engineering Physics</v>
      </c>
      <c r="B441" s="1" t="str">
        <f>"9780199452811"</f>
        <v>9780199452811</v>
      </c>
      <c r="C441" s="1">
        <v>15.3</v>
      </c>
      <c r="D441" s="1" t="str">
        <f>"USD"</f>
        <v>USD</v>
      </c>
      <c r="E441" s="1" t="str">
        <f>"2015"</f>
        <v>2015</v>
      </c>
      <c r="F441" s="1" t="str">
        <f>"Tandon "</f>
        <v xml:space="preserve">Tandon </v>
      </c>
      <c r="G441" s="1" t="str">
        <f>"jahanadib"</f>
        <v>jahanadib</v>
      </c>
      <c r="J441" s="1"/>
    </row>
    <row r="442" spans="1:10" x14ac:dyDescent="0.2">
      <c r="A442" s="1" t="str">
        <f>"Engineering Physics, 3/e"</f>
        <v>Engineering Physics, 3/e</v>
      </c>
      <c r="B442" s="1" t="str">
        <f>"9788123928418"</f>
        <v>9788123928418</v>
      </c>
      <c r="C442" s="1">
        <v>19.8</v>
      </c>
      <c r="D442" s="1" t="str">
        <f>"USD"</f>
        <v>USD</v>
      </c>
      <c r="E442" s="1" t="str">
        <f>"2016"</f>
        <v>2016</v>
      </c>
      <c r="F442" s="1" t="str">
        <f>"Kakani"</f>
        <v>Kakani</v>
      </c>
      <c r="G442" s="1" t="str">
        <f>"safirketab"</f>
        <v>safirketab</v>
      </c>
      <c r="J442" s="1"/>
    </row>
    <row r="443" spans="1:10" x14ac:dyDescent="0.2">
      <c r="A443" s="1" t="str">
        <f>"Engineering Physics, 3/e"</f>
        <v>Engineering Physics, 3/e</v>
      </c>
      <c r="B443" s="1" t="str">
        <f>"9788123928418"</f>
        <v>9788123928418</v>
      </c>
      <c r="C443" s="1">
        <v>19.8</v>
      </c>
      <c r="D443" s="1" t="str">
        <f>"USD"</f>
        <v>USD</v>
      </c>
      <c r="E443" s="1" t="str">
        <f>"2016"</f>
        <v>2016</v>
      </c>
      <c r="F443" s="1" t="str">
        <f>"Kakani"</f>
        <v>Kakani</v>
      </c>
      <c r="G443" s="1" t="str">
        <f>"jahanadib"</f>
        <v>jahanadib</v>
      </c>
      <c r="J443" s="1"/>
    </row>
    <row r="444" spans="1:10" x14ac:dyDescent="0.2">
      <c r="A444" s="1" t="str">
        <f>"Engineering Physics, 3/ed"</f>
        <v>Engineering Physics, 3/ed</v>
      </c>
      <c r="B444" s="1" t="str">
        <f>"9788120352346"</f>
        <v>9788120352346</v>
      </c>
      <c r="C444" s="1">
        <v>13.37</v>
      </c>
      <c r="D444" s="1" t="str">
        <f>"USD"</f>
        <v>USD</v>
      </c>
      <c r="E444" s="1" t="str">
        <f>"2016"</f>
        <v>2016</v>
      </c>
      <c r="F444" s="1" t="str">
        <f>"Raghuvanshi"</f>
        <v>Raghuvanshi</v>
      </c>
      <c r="G444" s="1" t="str">
        <f>"negarestanabi"</f>
        <v>negarestanabi</v>
      </c>
      <c r="J444" s="1"/>
    </row>
    <row r="445" spans="1:10" x14ac:dyDescent="0.2">
      <c r="A445" s="1" t="str">
        <f>"Engineering Physics, Fourth Edition"</f>
        <v>Engineering Physics, Fourth Edition</v>
      </c>
      <c r="B445" s="1" t="str">
        <f>"9781842658895"</f>
        <v>9781842658895</v>
      </c>
      <c r="C445" s="1">
        <v>34.97</v>
      </c>
      <c r="D445" s="1" t="str">
        <f>"GBP"</f>
        <v>GBP</v>
      </c>
      <c r="E445" s="1" t="str">
        <f>"2015"</f>
        <v>2015</v>
      </c>
      <c r="F445" s="1" t="str">
        <f>"Mukherji"</f>
        <v>Mukherji</v>
      </c>
      <c r="G445" s="1" t="str">
        <f>"jahanadib"</f>
        <v>jahanadib</v>
      </c>
      <c r="J445" s="1"/>
    </row>
    <row r="446" spans="1:10" x14ac:dyDescent="0.2">
      <c r="A446" s="1" t="str">
        <f>"Engineering Physics,3/e"</f>
        <v>Engineering Physics,3/e</v>
      </c>
      <c r="B446" s="1" t="str">
        <f>"9788120352346"</f>
        <v>9788120352346</v>
      </c>
      <c r="C446" s="1">
        <v>13.6</v>
      </c>
      <c r="D446" s="1" t="str">
        <f>"USD"</f>
        <v>USD</v>
      </c>
      <c r="E446" s="1" t="str">
        <f>"2016"</f>
        <v>2016</v>
      </c>
      <c r="F446" s="1" t="str">
        <f>"Raghuvanshi"</f>
        <v>Raghuvanshi</v>
      </c>
      <c r="G446" s="1" t="str">
        <f>"jahanadib"</f>
        <v>jahanadib</v>
      </c>
      <c r="J446" s="1"/>
    </row>
    <row r="447" spans="1:10" x14ac:dyDescent="0.2">
      <c r="A447" s="1" t="str">
        <f>"Engineering Physics,3/e"</f>
        <v>Engineering Physics,3/e</v>
      </c>
      <c r="B447" s="1" t="str">
        <f>"9788120352346"</f>
        <v>9788120352346</v>
      </c>
      <c r="C447" s="1">
        <v>13.6</v>
      </c>
      <c r="D447" s="1" t="str">
        <f>"USD"</f>
        <v>USD</v>
      </c>
      <c r="E447" s="1" t="str">
        <f>"2016"</f>
        <v>2016</v>
      </c>
      <c r="F447" s="1" t="str">
        <f>"Raghuvanshi"</f>
        <v>Raghuvanshi</v>
      </c>
      <c r="G447" s="1" t="str">
        <f>"safirketab"</f>
        <v>safirketab</v>
      </c>
      <c r="J447" s="1"/>
    </row>
    <row r="448" spans="1:10" x14ac:dyDescent="0.2">
      <c r="A448" s="1" t="str">
        <f>"Engineering Technologies for Renewable and Recyclable Materials:: Physical-Chemical Properties and Functional Aspects (Innovations in Physical Chemistry)"</f>
        <v>Engineering Technologies for Renewable and Recyclable Materials:: Physical-Chemical Properties and Functional Aspects (Innovations in Physical Chemistry)</v>
      </c>
      <c r="B448" s="1" t="str">
        <f>"9781771886536"</f>
        <v>9781771886536</v>
      </c>
      <c r="C448" s="1">
        <v>111.6</v>
      </c>
      <c r="D448" s="1" t="str">
        <f>"GBP"</f>
        <v>GBP</v>
      </c>
      <c r="E448" s="1" t="str">
        <f>"2018"</f>
        <v>2018</v>
      </c>
      <c r="F448" s="1" t="str">
        <f>"Joy"</f>
        <v>Joy</v>
      </c>
      <c r="G448" s="1" t="str">
        <f>"sal"</f>
        <v>sal</v>
      </c>
      <c r="J448" s="1"/>
    </row>
    <row r="449" spans="1:10" x14ac:dyDescent="0.2">
      <c r="A449" s="1" t="str">
        <f>"Engineering Technology, Engineering Education and Engineering Management"</f>
        <v>Engineering Technology, Engineering Education and Engineering Management</v>
      </c>
      <c r="B449" s="1" t="str">
        <f>"9781138027800"</f>
        <v>9781138027800</v>
      </c>
      <c r="C449" s="1">
        <v>169.15</v>
      </c>
      <c r="D449" s="1" t="str">
        <f>"GBP"</f>
        <v>GBP</v>
      </c>
      <c r="E449" s="1" t="str">
        <f>"2015"</f>
        <v>2015</v>
      </c>
      <c r="F449" s="1" t="str">
        <f>"Deyao Tan(Editor)"</f>
        <v>Deyao Tan(Editor)</v>
      </c>
      <c r="G449" s="1" t="str">
        <f>"AsarBartar"</f>
        <v>AsarBartar</v>
      </c>
      <c r="J449" s="1"/>
    </row>
    <row r="450" spans="1:10" x14ac:dyDescent="0.2">
      <c r="A450" s="1" t="str">
        <f>"Enginering Physics"</f>
        <v>Enginering Physics</v>
      </c>
      <c r="B450" s="1" t="str">
        <f>"9788120339163"</f>
        <v>9788120339163</v>
      </c>
      <c r="C450" s="1">
        <v>6.8</v>
      </c>
      <c r="D450" s="1" t="str">
        <f>"USD"</f>
        <v>USD</v>
      </c>
      <c r="E450" s="1" t="str">
        <f>"2016"</f>
        <v>2016</v>
      </c>
      <c r="F450" s="1" t="str">
        <f>"Aruldhas"</f>
        <v>Aruldhas</v>
      </c>
      <c r="G450" s="1" t="str">
        <f>"jahanadib"</f>
        <v>jahanadib</v>
      </c>
      <c r="J450" s="1"/>
    </row>
    <row r="451" spans="1:10" x14ac:dyDescent="0.2">
      <c r="A451" s="1" t="str">
        <f>"Enginering Physics"</f>
        <v>Enginering Physics</v>
      </c>
      <c r="B451" s="1" t="str">
        <f>"9788120339163"</f>
        <v>9788120339163</v>
      </c>
      <c r="C451" s="1">
        <v>6.8</v>
      </c>
      <c r="D451" s="1" t="str">
        <f>"USD"</f>
        <v>USD</v>
      </c>
      <c r="E451" s="1" t="str">
        <f>"2016"</f>
        <v>2016</v>
      </c>
      <c r="F451" s="1" t="str">
        <f>"Aruldhas"</f>
        <v>Aruldhas</v>
      </c>
      <c r="G451" s="1" t="str">
        <f>"safirketab"</f>
        <v>safirketab</v>
      </c>
      <c r="J451" s="1"/>
    </row>
    <row r="452" spans="1:10" x14ac:dyDescent="0.2">
      <c r="A452" s="1" t="str">
        <f>"Engines of Discovery : A Century of Particle Accelerators (Revised and Expanded Edition )"</f>
        <v>Engines of Discovery : A Century of Particle Accelerators (Revised and Expanded Edition )</v>
      </c>
      <c r="B452" s="1" t="str">
        <f>"9789814417198"</f>
        <v>9789814417198</v>
      </c>
      <c r="C452" s="1">
        <v>32</v>
      </c>
      <c r="D452" s="1" t="str">
        <f>"GBP"</f>
        <v>GBP</v>
      </c>
      <c r="E452" s="1" t="str">
        <f>"2014"</f>
        <v>2014</v>
      </c>
      <c r="F452" s="1" t="str">
        <f>"Edmund Wilson"</f>
        <v>Edmund Wilson</v>
      </c>
      <c r="G452" s="1" t="str">
        <f>"AsarBartar"</f>
        <v>AsarBartar</v>
      </c>
      <c r="J452" s="1"/>
    </row>
    <row r="453" spans="1:10" x14ac:dyDescent="0.2">
      <c r="A453" s="1" t="str">
        <f>"Equation of State of Uranium Dioxide"</f>
        <v>Equation of State of Uranium Dioxide</v>
      </c>
      <c r="B453" s="1" t="str">
        <f>"9783540221227"</f>
        <v>9783540221227</v>
      </c>
      <c r="C453" s="1">
        <v>207.42</v>
      </c>
      <c r="D453" s="1" t="str">
        <f>"USD"</f>
        <v>USD</v>
      </c>
      <c r="E453" s="1" t="str">
        <f>"2004"</f>
        <v>2004</v>
      </c>
      <c r="F453" s="1" t="str">
        <f>"Ronchi,C."</f>
        <v>Ronchi,C.</v>
      </c>
      <c r="G453" s="1" t="str">
        <f>"safirketab"</f>
        <v>safirketab</v>
      </c>
      <c r="J453" s="1"/>
    </row>
    <row r="454" spans="1:10" x14ac:dyDescent="0.2">
      <c r="A454" s="1" t="str">
        <f>"Equations of Motion in Relativistic Gravity"</f>
        <v>Equations of Motion in Relativistic Gravity</v>
      </c>
      <c r="B454" s="1" t="str">
        <f>"9783319183343"</f>
        <v>9783319183343</v>
      </c>
      <c r="C454" s="1">
        <v>125.99</v>
      </c>
      <c r="D454" s="1" t="str">
        <f>"EUR"</f>
        <v>EUR</v>
      </c>
      <c r="E454" s="1" t="str">
        <f>"2015"</f>
        <v>2015</v>
      </c>
      <c r="F454" s="1" t="str">
        <f>"Puetzfeld"</f>
        <v>Puetzfeld</v>
      </c>
      <c r="G454" s="1" t="str">
        <f>"negarestanabi"</f>
        <v>negarestanabi</v>
      </c>
      <c r="J454" s="1"/>
    </row>
    <row r="455" spans="1:10" x14ac:dyDescent="0.2">
      <c r="A455" s="1" t="str">
        <f>"EQUILIBRIUM MOLECULAR STRUCTURES : FROM SPECTROSCOPY TO"</f>
        <v>EQUILIBRIUM MOLECULAR STRUCTURES : FROM SPECTROSCOPY TO</v>
      </c>
      <c r="B455" s="1" t="str">
        <f>"9781439811320"</f>
        <v>9781439811320</v>
      </c>
      <c r="C455" s="1">
        <v>24.6</v>
      </c>
      <c r="D455" s="1" t="str">
        <f>"GBP"</f>
        <v>GBP</v>
      </c>
      <c r="E455" s="1" t="str">
        <f>"2011"</f>
        <v>2011</v>
      </c>
      <c r="F455" s="1" t="str">
        <f>"DEMAISON"</f>
        <v>DEMAISON</v>
      </c>
      <c r="G455" s="1" t="str">
        <f>"AsarBartar"</f>
        <v>AsarBartar</v>
      </c>
      <c r="J455" s="1"/>
    </row>
    <row r="456" spans="1:10" x14ac:dyDescent="0.2">
      <c r="A456" s="1" t="str">
        <f>"Equilibrium Thermodynamics. 2/ed"</f>
        <v>Equilibrium Thermodynamics. 2/ed</v>
      </c>
      <c r="B456" s="1" t="str">
        <f>"9783662532058"</f>
        <v>9783662532058</v>
      </c>
      <c r="C456" s="1">
        <v>76.489999999999995</v>
      </c>
      <c r="D456" s="1" t="str">
        <f>"EUR"</f>
        <v>EUR</v>
      </c>
      <c r="E456" s="1" t="str">
        <f>"2017"</f>
        <v>2017</v>
      </c>
      <c r="F456" s="1" t="str">
        <f>"de Oliveira"</f>
        <v>de Oliveira</v>
      </c>
      <c r="G456" s="1" t="str">
        <f>"negarestanabi"</f>
        <v>negarestanabi</v>
      </c>
      <c r="J456" s="1"/>
    </row>
    <row r="457" spans="1:10" x14ac:dyDescent="0.2">
      <c r="A457" s="1" t="str">
        <f>"ESCOS AROUND THE WORLD: LESSONS LEA"</f>
        <v>ESCOS AROUND THE WORLD: LESSONS LEA</v>
      </c>
      <c r="B457" s="1" t="str">
        <f>"9781439811016"</f>
        <v>9781439811016</v>
      </c>
      <c r="C457" s="1">
        <v>21.9</v>
      </c>
      <c r="D457" s="1" t="str">
        <f>"GBP"</f>
        <v>GBP</v>
      </c>
      <c r="E457" s="1" t="str">
        <f>"2009"</f>
        <v>2009</v>
      </c>
      <c r="F457" s="1" t="str">
        <f>"HANSEN"</f>
        <v>HANSEN</v>
      </c>
      <c r="G457" s="1" t="str">
        <f>"AsarBartar"</f>
        <v>AsarBartar</v>
      </c>
      <c r="J457" s="1"/>
    </row>
    <row r="458" spans="1:10" x14ac:dyDescent="0.2">
      <c r="A458" s="1" t="str">
        <f>"ESSENTIAL AMORY LOVINS, THE"</f>
        <v>ESSENTIAL AMORY LOVINS, THE</v>
      </c>
      <c r="B458" s="1" t="str">
        <f>"9781849712262"</f>
        <v>9781849712262</v>
      </c>
      <c r="C458" s="1">
        <v>5.99</v>
      </c>
      <c r="D458" s="1" t="str">
        <f>"GBP"</f>
        <v>GBP</v>
      </c>
      <c r="E458" s="1" t="str">
        <f>"2011"</f>
        <v>2011</v>
      </c>
      <c r="F458" s="1" t="str">
        <f>"LOVINS"</f>
        <v>LOVINS</v>
      </c>
      <c r="G458" s="1" t="str">
        <f>"AsarBartar"</f>
        <v>AsarBartar</v>
      </c>
      <c r="J458" s="1"/>
    </row>
    <row r="459" spans="1:10" x14ac:dyDescent="0.2">
      <c r="A459" s="1" t="str">
        <f>"Essential Quantum Mechanics for Electrical Engineers"</f>
        <v>Essential Quantum Mechanics for Electrical Engineers</v>
      </c>
      <c r="B459" s="1" t="str">
        <f>"9783527413553"</f>
        <v>9783527413553</v>
      </c>
      <c r="C459" s="1">
        <v>63</v>
      </c>
      <c r="D459" s="1" t="str">
        <f>"USD"</f>
        <v>USD</v>
      </c>
      <c r="E459" s="1" t="str">
        <f>"2017"</f>
        <v>2017</v>
      </c>
      <c r="F459" s="1" t="str">
        <f>"De?k"</f>
        <v>De?k</v>
      </c>
      <c r="G459" s="1" t="str">
        <f>"avanddanesh"</f>
        <v>avanddanesh</v>
      </c>
      <c r="J459" s="1"/>
    </row>
    <row r="460" spans="1:10" x14ac:dyDescent="0.2">
      <c r="A460" s="1" t="str">
        <f>"Essentials of Hydraulic Fracturing"</f>
        <v>Essentials of Hydraulic Fracturing</v>
      </c>
      <c r="B460" s="1" t="str">
        <f>"9781593703578"</f>
        <v>9781593703578</v>
      </c>
      <c r="C460" s="1">
        <v>152.25</v>
      </c>
      <c r="D460" s="1" t="str">
        <f>"GBP"</f>
        <v>GBP</v>
      </c>
      <c r="E460" s="1" t="str">
        <f>"2018"</f>
        <v>2018</v>
      </c>
      <c r="F460" s="1" t="str">
        <f>"Â Ralph W. Veatch"</f>
        <v>Â Ralph W. Veatch</v>
      </c>
      <c r="G460" s="1" t="str">
        <f>"kowkab"</f>
        <v>kowkab</v>
      </c>
      <c r="J460" s="1"/>
    </row>
    <row r="461" spans="1:10" x14ac:dyDescent="0.2">
      <c r="A461" s="1" t="str">
        <f>"Essentials of Radiation Heat Transfer"</f>
        <v>Essentials of Radiation Heat Transfer</v>
      </c>
      <c r="B461" s="1" t="str">
        <f>"9781118908310"</f>
        <v>9781118908310</v>
      </c>
      <c r="C461" s="1">
        <v>63.8</v>
      </c>
      <c r="D461" s="1" t="str">
        <f>"USD"</f>
        <v>USD</v>
      </c>
      <c r="E461" s="1" t="str">
        <f>"2014"</f>
        <v>2014</v>
      </c>
      <c r="F461" s="1" t="str">
        <f>"Balaji"</f>
        <v>Balaji</v>
      </c>
      <c r="G461" s="1" t="str">
        <f>"avanddanesh"</f>
        <v>avanddanesh</v>
      </c>
      <c r="J461" s="1"/>
    </row>
    <row r="462" spans="1:10" x14ac:dyDescent="0.2">
      <c r="A462" s="1" t="str">
        <f>"Estimation Of Rare Event Probabilities In Complex"</f>
        <v>Estimation Of Rare Event Probabilities In Complex</v>
      </c>
      <c r="B462" s="1" t="str">
        <f>"9780081000779"</f>
        <v>9780081000779</v>
      </c>
      <c r="C462" s="1">
        <v>189</v>
      </c>
      <c r="D462" s="1" t="str">
        <f>"USD"</f>
        <v>USD</v>
      </c>
      <c r="E462" s="1" t="str">
        <f>"2015"</f>
        <v>2015</v>
      </c>
      <c r="F462" s="1" t="str">
        <f>"N/A*"</f>
        <v>N/A*</v>
      </c>
      <c r="G462" s="1" t="str">
        <f>"dehkadehketab"</f>
        <v>dehkadehketab</v>
      </c>
      <c r="J462" s="1"/>
    </row>
    <row r="463" spans="1:10" x14ac:dyDescent="0.2">
      <c r="A463" s="1" t="str">
        <f>"Ettore Majorana: Notes on Theoretical Physics"</f>
        <v>Ettore Majorana: Notes on Theoretical Physics</v>
      </c>
      <c r="B463" s="1" t="str">
        <f>"9781402016493"</f>
        <v>9781402016493</v>
      </c>
      <c r="C463" s="1">
        <v>160.57</v>
      </c>
      <c r="D463" s="1" t="str">
        <f>"USD"</f>
        <v>USD</v>
      </c>
      <c r="E463" s="1" t="str">
        <f>"2003"</f>
        <v>2003</v>
      </c>
      <c r="F463" s="1" t="str">
        <f>"Esposito,S.(Eds.)"</f>
        <v>Esposito,S.(Eds.)</v>
      </c>
      <c r="G463" s="1" t="str">
        <f>"safirketab"</f>
        <v>safirketab</v>
      </c>
      <c r="J463" s="1"/>
    </row>
    <row r="464" spans="1:10" x14ac:dyDescent="0.2">
      <c r="A464" s="1" t="str">
        <f>"Evaluating Measurement Accuracy: A Practical Approach. 3/ed"</f>
        <v>Evaluating Measurement Accuracy: A Practical Approach. 3/ed</v>
      </c>
      <c r="B464" s="1" t="str">
        <f>"9783319601243"</f>
        <v>9783319601243</v>
      </c>
      <c r="C464" s="1">
        <v>134.99</v>
      </c>
      <c r="D464" s="1" t="str">
        <f>"EUR"</f>
        <v>EUR</v>
      </c>
      <c r="E464" s="1" t="str">
        <f>"2017"</f>
        <v>2017</v>
      </c>
      <c r="F464" s="1" t="str">
        <f>"Rabinovich"</f>
        <v>Rabinovich</v>
      </c>
      <c r="G464" s="1" t="str">
        <f>"negarestanabi"</f>
        <v>negarestanabi</v>
      </c>
      <c r="J464" s="1"/>
    </row>
    <row r="465" spans="1:10" x14ac:dyDescent="0.2">
      <c r="A465" s="1" t="str">
        <f>"EVERYTHING ABOUT GRAVITY - PROCEEDINGS OF THE SECOND LECOSPA INTERNATIONAL SYMPOSIUM"</f>
        <v>EVERYTHING ABOUT GRAVITY - PROCEEDINGS OF THE SECOND LECOSPA INTERNATIONAL SYMPOSIUM</v>
      </c>
      <c r="B465" s="1" t="str">
        <f>"9789813203945"</f>
        <v>9789813203945</v>
      </c>
      <c r="C465" s="1">
        <v>147.6</v>
      </c>
      <c r="D465" s="1" t="str">
        <f>"GBP"</f>
        <v>GBP</v>
      </c>
      <c r="E465" s="1" t="str">
        <f>"2017"</f>
        <v>2017</v>
      </c>
      <c r="F465" s="1" t="str">
        <f>"CHEN PISIN"</f>
        <v>CHEN PISIN</v>
      </c>
      <c r="G465" s="1" t="str">
        <f>"AsarBartar"</f>
        <v>AsarBartar</v>
      </c>
      <c r="J465" s="1"/>
    </row>
    <row r="466" spans="1:10" x14ac:dyDescent="0.2">
      <c r="A466" s="1" t="str">
        <f>"Evolution of Silicon Sensor Technology in Particle Physics. 2/ed"</f>
        <v>Evolution of Silicon Sensor Technology in Particle Physics. 2/ed</v>
      </c>
      <c r="B466" s="1" t="str">
        <f>"9783319644349"</f>
        <v>9783319644349</v>
      </c>
      <c r="C466" s="1">
        <v>98.99</v>
      </c>
      <c r="D466" s="1" t="str">
        <f>"EUR"</f>
        <v>EUR</v>
      </c>
      <c r="E466" s="1" t="str">
        <f>"2017"</f>
        <v>2017</v>
      </c>
      <c r="F466" s="1" t="str">
        <f>"Hartmann"</f>
        <v>Hartmann</v>
      </c>
      <c r="G466" s="1" t="str">
        <f>"negarestanabi"</f>
        <v>negarestanabi</v>
      </c>
      <c r="J466" s="1"/>
    </row>
    <row r="467" spans="1:10" x14ac:dyDescent="0.2">
      <c r="A467" s="1" t="str">
        <f>"Excursions in the Land of Statistical Physics"</f>
        <v>Excursions in the Land of Statistical Physics</v>
      </c>
      <c r="B467" s="1" t="str">
        <f>"9789813144903"</f>
        <v>9789813144903</v>
      </c>
      <c r="C467" s="1">
        <v>34</v>
      </c>
      <c r="D467" s="1" t="str">
        <f>"GBP"</f>
        <v>GBP</v>
      </c>
      <c r="E467" s="1" t="str">
        <f>"2016"</f>
        <v>2016</v>
      </c>
      <c r="F467" s="1" t="str">
        <f>"Michael E Fisher"</f>
        <v>Michael E Fisher</v>
      </c>
      <c r="G467" s="1" t="str">
        <f>"AsarBartar"</f>
        <v>AsarBartar</v>
      </c>
      <c r="J467" s="1"/>
    </row>
    <row r="468" spans="1:10" x14ac:dyDescent="0.2">
      <c r="A468" s="1" t="str">
        <f>"Experimental Econophysics: Properties and Mechanisms of Laboratory Markets"</f>
        <v>Experimental Econophysics: Properties and Mechanisms of Laboratory Markets</v>
      </c>
      <c r="B468" s="1" t="str">
        <f>"9783662442333"</f>
        <v>9783662442333</v>
      </c>
      <c r="C468" s="1">
        <v>76.489999999999995</v>
      </c>
      <c r="D468" s="1" t="str">
        <f>"EUR"</f>
        <v>EUR</v>
      </c>
      <c r="E468" s="1" t="str">
        <f>"2015"</f>
        <v>2015</v>
      </c>
      <c r="F468" s="1" t="str">
        <f>"Huang"</f>
        <v>Huang</v>
      </c>
      <c r="G468" s="1" t="str">
        <f>"negarestanabi"</f>
        <v>negarestanabi</v>
      </c>
      <c r="J468" s="1"/>
    </row>
    <row r="469" spans="1:10" x14ac:dyDescent="0.2">
      <c r="A469" s="1" t="str">
        <f>"Experimental Search for Quantum Gravity"</f>
        <v>Experimental Search for Quantum Gravity</v>
      </c>
      <c r="B469" s="1" t="str">
        <f>"9783319645360"</f>
        <v>9783319645360</v>
      </c>
      <c r="C469" s="1">
        <v>71.989999999999995</v>
      </c>
      <c r="D469" s="1" t="str">
        <f>"EUR"</f>
        <v>EUR</v>
      </c>
      <c r="E469" s="1" t="str">
        <f>"2018"</f>
        <v>2018</v>
      </c>
      <c r="F469" s="1" t="str">
        <f>"Hossenfelder"</f>
        <v>Hossenfelder</v>
      </c>
      <c r="G469" s="1" t="str">
        <f>"negarestanabi"</f>
        <v>negarestanabi</v>
      </c>
      <c r="J469" s="1"/>
    </row>
    <row r="470" spans="1:10" x14ac:dyDescent="0.2">
      <c r="A470" s="1" t="str">
        <f>"Experiments and Video Analysis in Classical Mechanics "</f>
        <v xml:space="preserve">Experiments and Video Analysis in Classical Mechanics </v>
      </c>
      <c r="B470" s="1" t="str">
        <f>"9783319524061"</f>
        <v>9783319524061</v>
      </c>
      <c r="C470" s="1">
        <v>40.49</v>
      </c>
      <c r="D470" s="1" t="str">
        <f>"EUR"</f>
        <v>EUR</v>
      </c>
      <c r="E470" s="1" t="str">
        <f>"2017"</f>
        <v>2017</v>
      </c>
      <c r="F470" s="1" t="str">
        <f>"de Jesus"</f>
        <v>de Jesus</v>
      </c>
      <c r="G470" s="1" t="str">
        <f>"negarestanabi"</f>
        <v>negarestanabi</v>
      </c>
      <c r="J470" s="1"/>
    </row>
    <row r="471" spans="1:10" x14ac:dyDescent="0.2">
      <c r="A471" s="1" t="str">
        <f>"EXPERIMENTS IN FLUID DYNAMICS, HB"</f>
        <v>EXPERIMENTS IN FLUID DYNAMICS, HB</v>
      </c>
      <c r="B471" s="1" t="str">
        <f>"9788180302916"</f>
        <v>9788180302916</v>
      </c>
      <c r="C471" s="1">
        <v>18.62</v>
      </c>
      <c r="D471" s="1" t="str">
        <f>"USD"</f>
        <v>USD</v>
      </c>
      <c r="E471" s="1" t="str">
        <f>"2010"</f>
        <v>2010</v>
      </c>
      <c r="F471" s="1" t="str">
        <f>"Patel"</f>
        <v>Patel</v>
      </c>
      <c r="G471" s="1" t="str">
        <f>"supply"</f>
        <v>supply</v>
      </c>
      <c r="J471" s="1"/>
    </row>
    <row r="472" spans="1:10" x14ac:dyDescent="0.2">
      <c r="A472" s="1" t="str">
        <f>"Experiments on the Thermodynamics of Information Processing"</f>
        <v>Experiments on the Thermodynamics of Information Processing</v>
      </c>
      <c r="B472" s="1" t="str">
        <f>"9783319636931"</f>
        <v>9783319636931</v>
      </c>
      <c r="C472" s="1">
        <v>89.99</v>
      </c>
      <c r="D472" s="1" t="str">
        <f>"EUR"</f>
        <v>EUR</v>
      </c>
      <c r="E472" s="1" t="str">
        <f>"2017"</f>
        <v>2017</v>
      </c>
      <c r="F472" s="1" t="str">
        <f>"Gavrilov"</f>
        <v>Gavrilov</v>
      </c>
      <c r="G472" s="1" t="str">
        <f>"negarestanabi"</f>
        <v>negarestanabi</v>
      </c>
      <c r="J472" s="1"/>
    </row>
    <row r="473" spans="1:10" x14ac:dyDescent="0.2">
      <c r="A473" s="1" t="str">
        <f>"Exploring Quantum Foundations with Single Photons"</f>
        <v>Exploring Quantum Foundations with Single Photons</v>
      </c>
      <c r="B473" s="1" t="str">
        <f>"9783319649870"</f>
        <v>9783319649870</v>
      </c>
      <c r="C473" s="1">
        <v>107.99</v>
      </c>
      <c r="D473" s="1" t="str">
        <f>"EUR"</f>
        <v>EUR</v>
      </c>
      <c r="E473" s="1" t="str">
        <f>"2017"</f>
        <v>2017</v>
      </c>
      <c r="F473" s="1" t="str">
        <f>"Ringbauer"</f>
        <v>Ringbauer</v>
      </c>
      <c r="G473" s="1" t="str">
        <f>"negarestanabi"</f>
        <v>negarestanabi</v>
      </c>
      <c r="J473" s="1"/>
    </row>
    <row r="474" spans="1:10" x14ac:dyDescent="0.2">
      <c r="A474" s="1" t="str">
        <f>"Extreme States of Matter in Strong Interaction Physics: An Introduction. 2/ed"</f>
        <v>Extreme States of Matter in Strong Interaction Physics: An Introduction. 2/ed</v>
      </c>
      <c r="B474" s="1" t="str">
        <f>"9783319718934"</f>
        <v>9783319718934</v>
      </c>
      <c r="C474" s="1">
        <v>62.99</v>
      </c>
      <c r="D474" s="1" t="str">
        <f>"EUR"</f>
        <v>EUR</v>
      </c>
      <c r="E474" s="1" t="str">
        <f>"2018"</f>
        <v>2018</v>
      </c>
      <c r="F474" s="1" t="str">
        <f>"Satz"</f>
        <v>Satz</v>
      </c>
      <c r="G474" s="1" t="str">
        <f>"negarestanabi"</f>
        <v>negarestanabi</v>
      </c>
      <c r="J474" s="1"/>
    </row>
    <row r="475" spans="1:10" x14ac:dyDescent="0.2">
      <c r="A475" s="1" t="str">
        <f>"Extreme States of Matter: High Energy Density Physics. 2/ed"</f>
        <v>Extreme States of Matter: High Energy Density Physics. 2/ed</v>
      </c>
      <c r="B475" s="1" t="str">
        <f>"9783319189529"</f>
        <v>9783319189529</v>
      </c>
      <c r="C475" s="1">
        <v>152.99</v>
      </c>
      <c r="D475" s="1" t="str">
        <f>"EUR"</f>
        <v>EUR</v>
      </c>
      <c r="E475" s="1" t="str">
        <f>"2016"</f>
        <v>2016</v>
      </c>
      <c r="F475" s="1" t="str">
        <f>"Fortov"</f>
        <v>Fortov</v>
      </c>
      <c r="G475" s="1" t="str">
        <f>"negarestanabi"</f>
        <v>negarestanabi</v>
      </c>
      <c r="J475" s="1"/>
    </row>
    <row r="476" spans="1:10" x14ac:dyDescent="0.2">
      <c r="A476" s="1" t="str">
        <f>"FEED-IN TARIFFS : ACCELERATING THE DEPLOYMENT OF RENEWABLE ENERGY"</f>
        <v>FEED-IN TARIFFS : ACCELERATING THE DEPLOYMENT OF RENEWABLE ENERGY</v>
      </c>
      <c r="B476" s="1" t="str">
        <f>"9781844077885"</f>
        <v>9781844077885</v>
      </c>
      <c r="C476" s="1">
        <v>8.98</v>
      </c>
      <c r="D476" s="1" t="str">
        <f>"GBP"</f>
        <v>GBP</v>
      </c>
      <c r="E476" s="1" t="str">
        <f>"2009"</f>
        <v>2009</v>
      </c>
      <c r="F476" s="1" t="str">
        <f>"MIGUEL MENDONCA"</f>
        <v>MIGUEL MENDONCA</v>
      </c>
      <c r="G476" s="1" t="str">
        <f>"AsarBartar"</f>
        <v>AsarBartar</v>
      </c>
      <c r="J476" s="1"/>
    </row>
    <row r="477" spans="1:10" x14ac:dyDescent="0.2">
      <c r="A477" s="1" t="str">
        <f>"FERMILAB AT 50"</f>
        <v>FERMILAB AT 50</v>
      </c>
      <c r="B477" s="1" t="str">
        <f>"9789813227453"</f>
        <v>9789813227453</v>
      </c>
      <c r="C477" s="1">
        <v>45.9</v>
      </c>
      <c r="D477" s="1" t="str">
        <f>"GBP"</f>
        <v>GBP</v>
      </c>
      <c r="E477" s="1" t="str">
        <f>"2018"</f>
        <v>2018</v>
      </c>
      <c r="F477" s="1" t="str">
        <f>"CHATTOPADHYAY SWAPA"</f>
        <v>CHATTOPADHYAY SWAPA</v>
      </c>
      <c r="G477" s="1" t="str">
        <f>"AsarBartar"</f>
        <v>AsarBartar</v>
      </c>
      <c r="J477" s="1"/>
    </row>
    <row r="478" spans="1:10" x14ac:dyDescent="0.2">
      <c r="A478" s="1" t="str">
        <f>"Fiber Bundle Model: Modeling Failure in Materials"</f>
        <v>Fiber Bundle Model: Modeling Failure in Materials</v>
      </c>
      <c r="B478" s="1" t="str">
        <f>"9783527412143"</f>
        <v>9783527412143</v>
      </c>
      <c r="C478" s="1">
        <v>140</v>
      </c>
      <c r="D478" s="1" t="str">
        <f>"USD"</f>
        <v>USD</v>
      </c>
      <c r="E478" s="1" t="str">
        <f>"2015"</f>
        <v>2015</v>
      </c>
      <c r="F478" s="1" t="str">
        <f>"Hansen"</f>
        <v>Hansen</v>
      </c>
      <c r="G478" s="1" t="str">
        <f>"avanddanesh"</f>
        <v>avanddanesh</v>
      </c>
      <c r="J478" s="1"/>
    </row>
    <row r="479" spans="1:10" x14ac:dyDescent="0.2">
      <c r="A479" s="1" t="str">
        <f>"Fibre Optic Communication: Key Devices. 2/ed"</f>
        <v>Fibre Optic Communication: Key Devices. 2/ed</v>
      </c>
      <c r="B479" s="1" t="str">
        <f>"9783319423654"</f>
        <v>9783319423654</v>
      </c>
      <c r="C479" s="1">
        <v>197.99</v>
      </c>
      <c r="D479" s="1" t="str">
        <f>"EUR"</f>
        <v>EUR</v>
      </c>
      <c r="E479" s="1" t="str">
        <f>"2017"</f>
        <v>2017</v>
      </c>
      <c r="F479" s="1" t="str">
        <f>"Venghaus"</f>
        <v>Venghaus</v>
      </c>
      <c r="G479" s="1" t="str">
        <f>"negarestanabi"</f>
        <v>negarestanabi</v>
      </c>
      <c r="J479" s="1"/>
    </row>
    <row r="480" spans="1:10" x14ac:dyDescent="0.2">
      <c r="A480" s="1" t="str">
        <f>"Field Computation for Accelerator Magnets Analytical and Numerical Methods for Electromagnetic Design and Optimization"</f>
        <v>Field Computation for Accelerator Magnets Analytical and Numerical Methods for Electromagnetic Design and Optimization</v>
      </c>
      <c r="B480" s="1" t="str">
        <f>"9783527407699"</f>
        <v>9783527407699</v>
      </c>
      <c r="C480" s="1">
        <v>214.18</v>
      </c>
      <c r="D480" s="1" t="str">
        <f>"USD"</f>
        <v>USD</v>
      </c>
      <c r="E480" s="1" t="str">
        <f>"2010"</f>
        <v>2010</v>
      </c>
      <c r="F480" s="1" t="str">
        <f>"Russenschuck"</f>
        <v>Russenschuck</v>
      </c>
      <c r="G480" s="1" t="str">
        <f>"safirketab"</f>
        <v>safirketab</v>
      </c>
      <c r="J480" s="1"/>
    </row>
    <row r="481" spans="1:10" x14ac:dyDescent="0.2">
      <c r="A481" s="1" t="str">
        <f>"Finite and Profinite Quantum Systems"</f>
        <v>Finite and Profinite Quantum Systems</v>
      </c>
      <c r="B481" s="1" t="str">
        <f>"9783319594941"</f>
        <v>9783319594941</v>
      </c>
      <c r="C481" s="1">
        <v>71.989999999999995</v>
      </c>
      <c r="D481" s="1" t="str">
        <f>"EUR"</f>
        <v>EUR</v>
      </c>
      <c r="E481" s="1" t="str">
        <f>"2017"</f>
        <v>2017</v>
      </c>
      <c r="F481" s="1" t="str">
        <f>"Vourdas"</f>
        <v>Vourdas</v>
      </c>
      <c r="G481" s="1" t="str">
        <f>"negarestanabi"</f>
        <v>negarestanabi</v>
      </c>
      <c r="J481" s="1"/>
    </row>
    <row r="482" spans="1:10" x14ac:dyDescent="0.2">
      <c r="A482" s="1" t="str">
        <f>"Finite Size Effects In Correlated Electron Models: Exact Results"</f>
        <v>Finite Size Effects In Correlated Electron Models: Exact Results</v>
      </c>
      <c r="B482" s="1" t="str">
        <f>"9781860945038"</f>
        <v>9781860945038</v>
      </c>
      <c r="C482" s="1">
        <v>54.5</v>
      </c>
      <c r="D482" s="1" t="str">
        <f>"GBP"</f>
        <v>GBP</v>
      </c>
      <c r="E482" s="1" t="str">
        <f>"2005"</f>
        <v>2005</v>
      </c>
      <c r="F482" s="1" t="str">
        <f>"Zvyagin Andrei"</f>
        <v>Zvyagin Andrei</v>
      </c>
      <c r="G482" s="1" t="str">
        <f>"kowkab"</f>
        <v>kowkab</v>
      </c>
      <c r="J482" s="1"/>
    </row>
    <row r="483" spans="1:10" x14ac:dyDescent="0.2">
      <c r="A483" s="1" t="str">
        <f>"Finite Time Thermodynamics of Power and Refrigeration Cycles"</f>
        <v>Finite Time Thermodynamics of Power and Refrigeration Cycles</v>
      </c>
      <c r="B483" s="1" t="str">
        <f>"9783319628110"</f>
        <v>9783319628110</v>
      </c>
      <c r="C483" s="1">
        <v>107.99</v>
      </c>
      <c r="D483" s="1" t="str">
        <f>"EUR"</f>
        <v>EUR</v>
      </c>
      <c r="E483" s="1" t="str">
        <f>"2017"</f>
        <v>2017</v>
      </c>
      <c r="F483" s="1" t="str">
        <f>"Kaushik"</f>
        <v>Kaushik</v>
      </c>
      <c r="G483" s="1" t="str">
        <f>"negarestanabi"</f>
        <v>negarestanabi</v>
      </c>
      <c r="J483" s="1"/>
    </row>
    <row r="484" spans="1:10" x14ac:dyDescent="0.2">
      <c r="A484" s="1" t="str">
        <f>"Fischer-Cripps Student Companion Set (5 Volumes): The Physics Companion, 2nd Edition"</f>
        <v>Fischer-Cripps Student Companion Set (5 Volumes): The Physics Companion, 2nd Edition</v>
      </c>
      <c r="B484" s="1" t="str">
        <f>"9781466517790"</f>
        <v>9781466517790</v>
      </c>
      <c r="C484" s="1">
        <v>23.8</v>
      </c>
      <c r="D484" s="1" t="str">
        <f>"GBP"</f>
        <v>GBP</v>
      </c>
      <c r="E484" s="1" t="str">
        <f>"2015"</f>
        <v>2015</v>
      </c>
      <c r="F484" s="1" t="str">
        <f>"Anthony C. Fischer-"</f>
        <v>Anthony C. Fischer-</v>
      </c>
      <c r="G484" s="1" t="str">
        <f>"AsarBartar"</f>
        <v>AsarBartar</v>
      </c>
      <c r="J484" s="1"/>
    </row>
    <row r="485" spans="1:10" x14ac:dyDescent="0.2">
      <c r="A485" s="1" t="str">
        <f>"Fluid Dynamics in Complex Fractured-Porous Systems"</f>
        <v>Fluid Dynamics in Complex Fractured-Porous Systems</v>
      </c>
      <c r="B485" s="1" t="str">
        <f>"9781118877203"</f>
        <v>9781118877203</v>
      </c>
      <c r="C485" s="1">
        <v>136</v>
      </c>
      <c r="D485" s="1" t="str">
        <f>"USD"</f>
        <v>USD</v>
      </c>
      <c r="E485" s="1" t="str">
        <f>"2015"</f>
        <v>2015</v>
      </c>
      <c r="F485" s="1" t="str">
        <f>"Faybishenko"</f>
        <v>Faybishenko</v>
      </c>
      <c r="G485" s="1" t="str">
        <f>"avanddanesh"</f>
        <v>avanddanesh</v>
      </c>
      <c r="J485" s="1"/>
    </row>
    <row r="486" spans="1:10" x14ac:dyDescent="0.2">
      <c r="A486" s="1" t="str">
        <f>"Fluid Dynamics: An Introduction"</f>
        <v>Fluid Dynamics: An Introduction</v>
      </c>
      <c r="B486" s="1" t="str">
        <f>"9783319093505"</f>
        <v>9783319093505</v>
      </c>
      <c r="C486" s="1">
        <v>67.489999999999995</v>
      </c>
      <c r="D486" s="1" t="str">
        <f>"EUR"</f>
        <v>EUR</v>
      </c>
      <c r="E486" s="1" t="str">
        <f>"2015"</f>
        <v>2015</v>
      </c>
      <c r="F486" s="1" t="str">
        <f>"Rieutord"</f>
        <v>Rieutord</v>
      </c>
      <c r="G486" s="1" t="str">
        <f>"negarestanabi"</f>
        <v>negarestanabi</v>
      </c>
      <c r="J486" s="1"/>
    </row>
    <row r="487" spans="1:10" x14ac:dyDescent="0.2">
      <c r="A487" s="1" t="str">
        <f>"Fluid Mechanics,7e, SI Version"</f>
        <v>Fluid Mechanics,7e, SI Version</v>
      </c>
      <c r="B487" s="1" t="str">
        <f>"9781118318676"</f>
        <v>9781118318676</v>
      </c>
      <c r="C487" s="1">
        <v>21</v>
      </c>
      <c r="D487" s="1" t="str">
        <f>"USD"</f>
        <v>USD</v>
      </c>
      <c r="E487" s="1" t="str">
        <f>"2013"</f>
        <v>2013</v>
      </c>
      <c r="F487" s="1" t="str">
        <f>"Munson"</f>
        <v>Munson</v>
      </c>
      <c r="G487" s="1" t="str">
        <f>"avanddanesh"</f>
        <v>avanddanesh</v>
      </c>
      <c r="J487" s="1"/>
    </row>
    <row r="488" spans="1:10" x14ac:dyDescent="0.2">
      <c r="A488" s="1" t="str">
        <f>"Fluidized-Bed Reactors: Processes and Operating Conditions"</f>
        <v>Fluidized-Bed Reactors: Processes and Operating Conditions</v>
      </c>
      <c r="B488" s="1" t="str">
        <f>"9783319395913"</f>
        <v>9783319395913</v>
      </c>
      <c r="C488" s="1">
        <v>107.99</v>
      </c>
      <c r="D488" s="1" t="str">
        <f>"EUR"</f>
        <v>EUR</v>
      </c>
      <c r="E488" s="1" t="str">
        <f>"2016"</f>
        <v>2016</v>
      </c>
      <c r="F488" s="1" t="str">
        <f>"Yates"</f>
        <v>Yates</v>
      </c>
      <c r="G488" s="1" t="str">
        <f>"negarestanabi"</f>
        <v>negarestanabi</v>
      </c>
      <c r="J488" s="1"/>
    </row>
    <row r="489" spans="1:10" x14ac:dyDescent="0.2">
      <c r="A489" s="1" t="str">
        <f>"Formation and Evolution of Galaxy Outskirts (IAU S321)"</f>
        <v>Formation and Evolution of Galaxy Outskirts (IAU S321)</v>
      </c>
      <c r="B489" s="1" t="str">
        <f>"9781107164161"</f>
        <v>9781107164161</v>
      </c>
      <c r="C489" s="1">
        <v>99</v>
      </c>
      <c r="D489" s="1" t="str">
        <f>"USD"</f>
        <v>USD</v>
      </c>
      <c r="E489" s="1" t="str">
        <f>"2017"</f>
        <v>2017</v>
      </c>
      <c r="F489" s="1" t="str">
        <f>"Gil de Paz"</f>
        <v>Gil de Paz</v>
      </c>
      <c r="G489" s="1" t="str">
        <f>"dehkadehketab"</f>
        <v>dehkadehketab</v>
      </c>
      <c r="J489" s="1"/>
    </row>
    <row r="490" spans="1:10" x14ac:dyDescent="0.2">
      <c r="A490" s="1" t="str">
        <f>"Formulas for Dynamics, Acoustics and Vibration"</f>
        <v>Formulas for Dynamics, Acoustics and Vibration</v>
      </c>
      <c r="B490" s="1" t="str">
        <f>"9781119038115"</f>
        <v>9781119038115</v>
      </c>
      <c r="C490" s="1">
        <v>92</v>
      </c>
      <c r="D490" s="1" t="str">
        <f>"USD"</f>
        <v>USD</v>
      </c>
      <c r="E490" s="1" t="str">
        <f>"2015"</f>
        <v>2015</v>
      </c>
      <c r="F490" s="1" t="str">
        <f>"Blevins"</f>
        <v>Blevins</v>
      </c>
      <c r="G490" s="1" t="str">
        <f>"avanddanesh"</f>
        <v>avanddanesh</v>
      </c>
      <c r="J490" s="1"/>
    </row>
    <row r="491" spans="1:10" x14ac:dyDescent="0.2">
      <c r="A491" s="1" t="str">
        <f>"Formulation of Statistical Mechanics Based on Thermal Pure Quantum States"</f>
        <v>Formulation of Statistical Mechanics Based on Thermal Pure Quantum States</v>
      </c>
      <c r="B491" s="1" t="str">
        <f>"9789811015052"</f>
        <v>9789811015052</v>
      </c>
      <c r="C491" s="1">
        <v>89.99</v>
      </c>
      <c r="D491" s="1" t="str">
        <f>"EUR"</f>
        <v>EUR</v>
      </c>
      <c r="E491" s="1" t="str">
        <f t="shared" ref="E491:E496" si="15">"2017"</f>
        <v>2017</v>
      </c>
      <c r="F491" s="1" t="str">
        <f>"Sugiura"</f>
        <v>Sugiura</v>
      </c>
      <c r="G491" s="1" t="str">
        <f>"negarestanabi"</f>
        <v>negarestanabi</v>
      </c>
      <c r="J491" s="1"/>
    </row>
    <row r="492" spans="1:10" x14ac:dyDescent="0.2">
      <c r="A492" s="1" t="str">
        <f>"Foundations for Nanoscience and Nanotechnology"</f>
        <v>Foundations for Nanoscience and Nanotechnology</v>
      </c>
      <c r="B492" s="1" t="str">
        <f>"9781482259070"</f>
        <v>9781482259070</v>
      </c>
      <c r="C492" s="1">
        <v>44.99</v>
      </c>
      <c r="D492" s="1" t="str">
        <f>"GBP"</f>
        <v>GBP</v>
      </c>
      <c r="E492" s="1" t="str">
        <f t="shared" si="15"/>
        <v>2017</v>
      </c>
      <c r="F492" s="1" t="str">
        <f>"PETERSEN"</f>
        <v>PETERSEN</v>
      </c>
      <c r="G492" s="1" t="str">
        <f>"sal"</f>
        <v>sal</v>
      </c>
      <c r="J492" s="1"/>
    </row>
    <row r="493" spans="1:10" x14ac:dyDescent="0.2">
      <c r="A493" s="1" t="str">
        <f>"Foundations of High-Energy-Density Physics: Physical Processes of Matter at Extreme Conditions"</f>
        <v>Foundations of High-Energy-Density Physics: Physical Processes of Matter at Extreme Conditions</v>
      </c>
      <c r="B493" s="1" t="str">
        <f>"9781107124110"</f>
        <v>9781107124110</v>
      </c>
      <c r="C493" s="1">
        <v>75</v>
      </c>
      <c r="D493" s="1" t="str">
        <f>"GBP"</f>
        <v>GBP</v>
      </c>
      <c r="E493" s="1" t="str">
        <f t="shared" si="15"/>
        <v>2017</v>
      </c>
      <c r="F493" s="1" t="str">
        <f>"Jon Larsen"</f>
        <v>Jon Larsen</v>
      </c>
      <c r="G493" s="1" t="str">
        <f>"arzinbooks"</f>
        <v>arzinbooks</v>
      </c>
      <c r="J493" s="1"/>
    </row>
    <row r="494" spans="1:10" x14ac:dyDescent="0.2">
      <c r="A494" s="1" t="str">
        <f>"Foundations of Nuclear and Particle Physics"</f>
        <v>Foundations of Nuclear and Particle Physics</v>
      </c>
      <c r="B494" s="1" t="str">
        <f>"9780521765114"</f>
        <v>9780521765114</v>
      </c>
      <c r="C494" s="1">
        <v>55.3</v>
      </c>
      <c r="D494" s="1" t="str">
        <f>"GBP"</f>
        <v>GBP</v>
      </c>
      <c r="E494" s="1" t="str">
        <f t="shared" si="15"/>
        <v>2017</v>
      </c>
      <c r="F494" s="1" t="str">
        <f>"T. WILLIAM DONNELLY "</f>
        <v xml:space="preserve">T. WILLIAM DONNELLY </v>
      </c>
      <c r="G494" s="1" t="str">
        <f>"arzinbooks"</f>
        <v>arzinbooks</v>
      </c>
      <c r="J494" s="1"/>
    </row>
    <row r="495" spans="1:10" x14ac:dyDescent="0.2">
      <c r="A495" s="1" t="str">
        <f>"Foundations of Quantum Mechanics: An Exploration of the Physical Meaning of Quantum Theory"</f>
        <v>Foundations of Quantum Mechanics: An Exploration of the Physical Meaning of Quantum Theory</v>
      </c>
      <c r="B495" s="1" t="str">
        <f>"9783319658667"</f>
        <v>9783319658667</v>
      </c>
      <c r="C495" s="1">
        <v>44.99</v>
      </c>
      <c r="D495" s="1" t="str">
        <f>"EUR"</f>
        <v>EUR</v>
      </c>
      <c r="E495" s="1" t="str">
        <f t="shared" si="15"/>
        <v>2017</v>
      </c>
      <c r="F495" s="1" t="str">
        <f>"Norsen"</f>
        <v>Norsen</v>
      </c>
      <c r="G495" s="1" t="str">
        <f>"negarestanabi"</f>
        <v>negarestanabi</v>
      </c>
      <c r="J495" s="1"/>
    </row>
    <row r="496" spans="1:10" x14ac:dyDescent="0.2">
      <c r="A496" s="1" t="str">
        <f>"Foundations of Quantum Theory: From Classical Concepts to Operator Algebras"</f>
        <v>Foundations of Quantum Theory: From Classical Concepts to Operator Algebras</v>
      </c>
      <c r="B496" s="1" t="str">
        <f>"9783319517766"</f>
        <v>9783319517766</v>
      </c>
      <c r="C496" s="1">
        <v>44.99</v>
      </c>
      <c r="D496" s="1" t="str">
        <f>"EUR"</f>
        <v>EUR</v>
      </c>
      <c r="E496" s="1" t="str">
        <f t="shared" si="15"/>
        <v>2017</v>
      </c>
      <c r="F496" s="1" t="str">
        <f>"Landsman"</f>
        <v>Landsman</v>
      </c>
      <c r="G496" s="1" t="str">
        <f>"negarestanabi"</f>
        <v>negarestanabi</v>
      </c>
      <c r="J496" s="1"/>
    </row>
    <row r="497" spans="1:10" x14ac:dyDescent="0.2">
      <c r="A497" s="1" t="str">
        <f>"Fourier Optics and Computational Imaging"</f>
        <v>Fourier Optics and Computational Imaging</v>
      </c>
      <c r="B497" s="1" t="str">
        <f>"9781118900345"</f>
        <v>9781118900345</v>
      </c>
      <c r="C497" s="1">
        <v>84</v>
      </c>
      <c r="D497" s="1" t="str">
        <f>"USD"</f>
        <v>USD</v>
      </c>
      <c r="E497" s="1" t="str">
        <f>"2015"</f>
        <v>2015</v>
      </c>
      <c r="F497" s="1" t="str">
        <f>"Khare"</f>
        <v>Khare</v>
      </c>
      <c r="G497" s="1" t="str">
        <f>"avanddanesh"</f>
        <v>avanddanesh</v>
      </c>
      <c r="J497" s="1"/>
    </row>
    <row r="498" spans="1:10" x14ac:dyDescent="0.2">
      <c r="A498" s="1" t="str">
        <f>"Fourier Transformation for Pedestrians. 2/ed"</f>
        <v>Fourier Transformation for Pedestrians. 2/ed</v>
      </c>
      <c r="B498" s="1" t="str">
        <f>"9783319169842"</f>
        <v>9783319169842</v>
      </c>
      <c r="C498" s="1">
        <v>40.49</v>
      </c>
      <c r="D498" s="1" t="str">
        <f>"EUR"</f>
        <v>EUR</v>
      </c>
      <c r="E498" s="1" t="str">
        <f>"2015"</f>
        <v>2015</v>
      </c>
      <c r="F498" s="1" t="str">
        <f>"Butz"</f>
        <v>Butz</v>
      </c>
      <c r="G498" s="1" t="str">
        <f>"negarestanabi"</f>
        <v>negarestanabi</v>
      </c>
      <c r="J498" s="1"/>
    </row>
    <row r="499" spans="1:10" x14ac:dyDescent="0.2">
      <c r="A499" s="1" t="str">
        <f>"Fractional Calculus with Applications for Nuclear Reactor Dynamics"</f>
        <v>Fractional Calculus with Applications for Nuclear Reactor Dynamics</v>
      </c>
      <c r="B499" s="1" t="str">
        <f>"9781498727273"</f>
        <v>9781498727273</v>
      </c>
      <c r="C499" s="1">
        <v>103.7</v>
      </c>
      <c r="D499" s="1" t="str">
        <f>"GBP"</f>
        <v>GBP</v>
      </c>
      <c r="E499" s="1" t="str">
        <f>"2016"</f>
        <v>2016</v>
      </c>
      <c r="F499" s="1" t="str">
        <f>"SANTANU SAHA RAY"</f>
        <v>SANTANU SAHA RAY</v>
      </c>
      <c r="G499" s="1" t="str">
        <f>"AsarBartar"</f>
        <v>AsarBartar</v>
      </c>
      <c r="J499" s="1"/>
    </row>
    <row r="500" spans="1:10" x14ac:dyDescent="0.2">
      <c r="A500" s="1" t="str">
        <f>"FREE AND INTERACTING QUANTUM FIELDS"</f>
        <v>FREE AND INTERACTING QUANTUM FIELDS</v>
      </c>
      <c r="B500" s="1" t="str">
        <f>"9789813145467"</f>
        <v>9789813145467</v>
      </c>
      <c r="C500" s="1">
        <v>141.30000000000001</v>
      </c>
      <c r="D500" s="1" t="str">
        <f>"GBP"</f>
        <v>GBP</v>
      </c>
      <c r="E500" s="1" t="str">
        <f>"2018"</f>
        <v>2018</v>
      </c>
      <c r="F500" s="1" t="str">
        <f>"MERCHES IOAN, TATOM"</f>
        <v>MERCHES IOAN, TATOM</v>
      </c>
      <c r="G500" s="1" t="str">
        <f>"AsarBartar"</f>
        <v>AsarBartar</v>
      </c>
      <c r="J500" s="1"/>
    </row>
    <row r="501" spans="1:10" x14ac:dyDescent="0.2">
      <c r="A501" s="1" t="str">
        <f>"Free Space Optical Systems Engineering: Design and Analysis"</f>
        <v>Free Space Optical Systems Engineering: Design and Analysis</v>
      </c>
      <c r="B501" s="1" t="str">
        <f>"9781119279020"</f>
        <v>9781119279020</v>
      </c>
      <c r="C501" s="1">
        <v>121.5</v>
      </c>
      <c r="D501" s="1" t="str">
        <f>"USD"</f>
        <v>USD</v>
      </c>
      <c r="E501" s="1" t="str">
        <f>"2017"</f>
        <v>2017</v>
      </c>
      <c r="F501" s="1" t="str">
        <f>"Stotts"</f>
        <v>Stotts</v>
      </c>
      <c r="G501" s="1" t="str">
        <f>"avanddanesh"</f>
        <v>avanddanesh</v>
      </c>
      <c r="J501" s="1"/>
    </row>
    <row r="502" spans="1:10" x14ac:dyDescent="0.2">
      <c r="A502" s="1" t="str">
        <f>"Freeform Optics for LED Packages and Applications"</f>
        <v>Freeform Optics for LED Packages and Applications</v>
      </c>
      <c r="B502" s="1" t="str">
        <f>"9781118749715"</f>
        <v>9781118749715</v>
      </c>
      <c r="C502" s="1">
        <v>135</v>
      </c>
      <c r="D502" s="1" t="str">
        <f>"USD"</f>
        <v>USD</v>
      </c>
      <c r="E502" s="1" t="str">
        <f>"2017"</f>
        <v>2017</v>
      </c>
      <c r="F502" s="1" t="str">
        <f>"Wang"</f>
        <v>Wang</v>
      </c>
      <c r="G502" s="1" t="str">
        <f>"avanddanesh"</f>
        <v>avanddanesh</v>
      </c>
      <c r="J502" s="1"/>
    </row>
    <row r="503" spans="1:10" x14ac:dyDescent="0.2">
      <c r="A503" s="1" t="str">
        <f>"Friction at the Atomic Level: Atomistic Approaches in Tribology"</f>
        <v>Friction at the Atomic Level: Atomistic Approaches in Tribology</v>
      </c>
      <c r="B503" s="1" t="str">
        <f>"9783527411696"</f>
        <v>9783527411696</v>
      </c>
      <c r="C503" s="1">
        <v>171</v>
      </c>
      <c r="D503" s="1" t="str">
        <f>"USD"</f>
        <v>USD</v>
      </c>
      <c r="E503" s="1" t="str">
        <f>"2018"</f>
        <v>2018</v>
      </c>
      <c r="F503" s="1" t="str">
        <f>"Hirano"</f>
        <v>Hirano</v>
      </c>
      <c r="G503" s="1" t="str">
        <f>"avanddanesh"</f>
        <v>avanddanesh</v>
      </c>
      <c r="J503" s="1"/>
    </row>
    <row r="504" spans="1:10" x14ac:dyDescent="0.2">
      <c r="A504" s="1" t="str">
        <f>"Fringe Pattern Analysis for Optical Metrology: Theory, Algorithms, and Applications"</f>
        <v>Fringe Pattern Analysis for Optical Metrology: Theory, Algorithms, and Applications</v>
      </c>
      <c r="B504" s="1" t="str">
        <f>"9783527411528"</f>
        <v>9783527411528</v>
      </c>
      <c r="C504" s="1">
        <v>135.80000000000001</v>
      </c>
      <c r="D504" s="1" t="str">
        <f>"USD"</f>
        <v>USD</v>
      </c>
      <c r="E504" s="1" t="str">
        <f>"2014"</f>
        <v>2014</v>
      </c>
      <c r="F504" s="1" t="str">
        <f>"Servin"</f>
        <v>Servin</v>
      </c>
      <c r="G504" s="1" t="str">
        <f>"avanddanesh"</f>
        <v>avanddanesh</v>
      </c>
      <c r="J504" s="1"/>
    </row>
    <row r="505" spans="1:10" x14ac:dyDescent="0.2">
      <c r="A505" s="1" t="str">
        <f>"From Classical to Quantum Plasmonics in Three and Two Dimensions"</f>
        <v>From Classical to Quantum Plasmonics in Three and Two Dimensions</v>
      </c>
      <c r="B505" s="1" t="str">
        <f>"9783319485614"</f>
        <v>9783319485614</v>
      </c>
      <c r="C505" s="1">
        <v>89.99</v>
      </c>
      <c r="D505" s="1" t="str">
        <f>"EUR"</f>
        <v>EUR</v>
      </c>
      <c r="E505" s="1" t="str">
        <f>"2017"</f>
        <v>2017</v>
      </c>
      <c r="F505" s="1" t="str">
        <f>"Christensen"</f>
        <v>Christensen</v>
      </c>
      <c r="G505" s="1" t="str">
        <f>"negarestanabi"</f>
        <v>negarestanabi</v>
      </c>
      <c r="J505" s="1"/>
    </row>
    <row r="506" spans="1:10" x14ac:dyDescent="0.2">
      <c r="A506" s="1" t="str">
        <f>"From Interstellar Clouds to Star-forming Galaxies (IAU S315): Universal Processes?"</f>
        <v>From Interstellar Clouds to Star-forming Galaxies (IAU S315): Universal Processes?</v>
      </c>
      <c r="B506" s="1" t="str">
        <f>"9781107135208"</f>
        <v>9781107135208</v>
      </c>
      <c r="C506" s="1">
        <v>60</v>
      </c>
      <c r="D506" s="1" t="str">
        <f>"GBP"</f>
        <v>GBP</v>
      </c>
      <c r="E506" s="1" t="str">
        <f>"2016"</f>
        <v>2016</v>
      </c>
      <c r="F506" s="1" t="str">
        <f>"Pascale Jablonka , P"</f>
        <v>Pascale Jablonka , P</v>
      </c>
      <c r="G506" s="1" t="str">
        <f>"arzinbooks"</f>
        <v>arzinbooks</v>
      </c>
      <c r="J506" s="1"/>
    </row>
    <row r="507" spans="1:10" x14ac:dyDescent="0.2">
      <c r="A507" s="1" t="str">
        <f>"From Matter to Life : Information and Causality"</f>
        <v>From Matter to Life : Information and Causality</v>
      </c>
      <c r="B507" s="1" t="str">
        <f>"9781107150539"</f>
        <v>9781107150539</v>
      </c>
      <c r="C507" s="1">
        <v>21.3</v>
      </c>
      <c r="D507" s="1" t="str">
        <f>"GBP"</f>
        <v>GBP</v>
      </c>
      <c r="E507" s="1" t="str">
        <f>"2017"</f>
        <v>2017</v>
      </c>
      <c r="F507" s="1" t="str">
        <f>"Walker"</f>
        <v>Walker</v>
      </c>
      <c r="G507" s="1" t="str">
        <f>"arzinbooks"</f>
        <v>arzinbooks</v>
      </c>
      <c r="J507" s="1"/>
    </row>
    <row r="508" spans="1:10" x14ac:dyDescent="0.2">
      <c r="A508" s="1" t="str">
        <f>"From Micro To Macro Quantum Systems: A Unified Formalism With Superselection Rules And Its Applications"</f>
        <v>From Micro To Macro Quantum Systems: A Unified Formalism With Superselection Rules And Its Applications</v>
      </c>
      <c r="B508" s="1" t="str">
        <f>"9781860946257"</f>
        <v>9781860946257</v>
      </c>
      <c r="C508" s="1">
        <v>39.5</v>
      </c>
      <c r="D508" s="1" t="str">
        <f>"GBP"</f>
        <v>GBP</v>
      </c>
      <c r="E508" s="1" t="str">
        <f>"2006"</f>
        <v>2006</v>
      </c>
      <c r="F508" s="1" t="str">
        <f>"Wan K Kong"</f>
        <v>Wan K Kong</v>
      </c>
      <c r="G508" s="1" t="str">
        <f>"kowkab"</f>
        <v>kowkab</v>
      </c>
      <c r="J508" s="1"/>
    </row>
    <row r="509" spans="1:10" x14ac:dyDescent="0.2">
      <c r="A509" s="1" t="str">
        <f>"From Newton to Mandelbrot: A Primer in Theoretical Physics. 3/ed"</f>
        <v>From Newton to Mandelbrot: A Primer in Theoretical Physics. 3/ed</v>
      </c>
      <c r="B509" s="1" t="str">
        <f>"9783662536834"</f>
        <v>9783662536834</v>
      </c>
      <c r="C509" s="1">
        <v>62.99</v>
      </c>
      <c r="D509" s="1" t="str">
        <f>"EUR"</f>
        <v>EUR</v>
      </c>
      <c r="E509" s="1" t="str">
        <f>"2017"</f>
        <v>2017</v>
      </c>
      <c r="F509" s="1" t="str">
        <f>"Stauffer"</f>
        <v>Stauffer</v>
      </c>
      <c r="G509" s="1" t="str">
        <f>"negarestanabi"</f>
        <v>negarestanabi</v>
      </c>
      <c r="J509" s="1"/>
    </row>
    <row r="510" spans="1:10" x14ac:dyDescent="0.2">
      <c r="A510" s="1" t="str">
        <f>"From Photons to Higgs : A Story of Light (2nd Edition)"</f>
        <v>From Photons to Higgs : A Story of Light (2nd Edition)</v>
      </c>
      <c r="B510" s="1" t="str">
        <f>"9789814583862"</f>
        <v>9789814583862</v>
      </c>
      <c r="C510" s="1">
        <v>18.399999999999999</v>
      </c>
      <c r="D510" s="1" t="str">
        <f>"GBP"</f>
        <v>GBP</v>
      </c>
      <c r="E510" s="1" t="str">
        <f>"2014"</f>
        <v>2014</v>
      </c>
      <c r="F510" s="1" t="str">
        <f>"Moo-young Han"</f>
        <v>Moo-young Han</v>
      </c>
      <c r="G510" s="1" t="str">
        <f>"AsarBartar"</f>
        <v>AsarBartar</v>
      </c>
      <c r="J510" s="1"/>
    </row>
    <row r="511" spans="1:10" x14ac:dyDescent="0.2">
      <c r="A511" s="1" t="str">
        <f>"From Special Relativity to Feynman Diagrams: A Course in Theoretical Particle Physics for Beginners. 2/ed"</f>
        <v>From Special Relativity to Feynman Diagrams: A Course in Theoretical Particle Physics for Beginners. 2/ed</v>
      </c>
      <c r="B511" s="1" t="str">
        <f>"9783319220130"</f>
        <v>9783319220130</v>
      </c>
      <c r="C511" s="1">
        <v>62.99</v>
      </c>
      <c r="D511" s="1" t="str">
        <f>"EUR"</f>
        <v>EUR</v>
      </c>
      <c r="E511" s="1" t="str">
        <f>"2016"</f>
        <v>2016</v>
      </c>
      <c r="F511" s="1" t="str">
        <f>"D'Auria"</f>
        <v>D'Auria</v>
      </c>
      <c r="G511" s="1" t="str">
        <f>"negarestanabi"</f>
        <v>negarestanabi</v>
      </c>
      <c r="J511" s="1"/>
    </row>
    <row r="512" spans="1:10" x14ac:dyDescent="0.2">
      <c r="A512" s="1" t="str">
        <f>"From the Sun to the Stars"</f>
        <v>From the Sun to the Stars</v>
      </c>
      <c r="B512" s="1" t="str">
        <f>"9789813143241"</f>
        <v>9789813143241</v>
      </c>
      <c r="C512" s="1">
        <v>22.95</v>
      </c>
      <c r="D512" s="1" t="str">
        <f>"GBP"</f>
        <v>GBP</v>
      </c>
      <c r="E512" s="1" t="str">
        <f>"2016"</f>
        <v>2016</v>
      </c>
      <c r="F512" s="1" t="str">
        <f>"James B Kaler"</f>
        <v>James B Kaler</v>
      </c>
      <c r="G512" s="1" t="str">
        <f>"AsarBartar"</f>
        <v>AsarBartar</v>
      </c>
      <c r="J512" s="1"/>
    </row>
    <row r="513" spans="1:10" x14ac:dyDescent="0.2">
      <c r="A513" s="1" t="str">
        <f>"Frontiers of Optical Spectroscopy"</f>
        <v>Frontiers of Optical Spectroscopy</v>
      </c>
      <c r="B513" s="1" t="str">
        <f>"9781402027505"</f>
        <v>9781402027505</v>
      </c>
      <c r="C513" s="1">
        <v>79.42</v>
      </c>
      <c r="D513" s="1" t="str">
        <f>"USD"</f>
        <v>USD</v>
      </c>
      <c r="E513" s="1" t="str">
        <f>"2005"</f>
        <v>2005</v>
      </c>
      <c r="F513" s="1" t="str">
        <f>"Di Bartolo"</f>
        <v>Di Bartolo</v>
      </c>
      <c r="G513" s="1" t="str">
        <f>"safirketab"</f>
        <v>safirketab</v>
      </c>
      <c r="J513" s="1"/>
    </row>
    <row r="514" spans="1:10" x14ac:dyDescent="0.2">
      <c r="A514" s="1" t="str">
        <f>"Fund. of Atmospheric Radiation: With about 400 problems"</f>
        <v>Fund. of Atmospheric Radiation: With about 400 problems</v>
      </c>
      <c r="B514" s="1" t="str">
        <f>"9783527405039"</f>
        <v>9783527405039</v>
      </c>
      <c r="C514" s="1">
        <v>63</v>
      </c>
      <c r="D514" s="1" t="str">
        <f>"USD"</f>
        <v>USD</v>
      </c>
      <c r="E514" s="1" t="str">
        <f>"2006"</f>
        <v>2006</v>
      </c>
      <c r="F514" s="1" t="str">
        <f>"Atomic, Molecular &amp; "</f>
        <v xml:space="preserve">Atomic, Molecular &amp; </v>
      </c>
      <c r="G514" s="1" t="str">
        <f>"safirketab"</f>
        <v>safirketab</v>
      </c>
      <c r="J514" s="1"/>
    </row>
    <row r="515" spans="1:10" x14ac:dyDescent="0.2">
      <c r="A515" s="1" t="str">
        <f>"Fundamental and Applied Nano-Electromagnetics"</f>
        <v>Fundamental and Applied Nano-Electromagnetics</v>
      </c>
      <c r="B515" s="1" t="str">
        <f>"9789401774765"</f>
        <v>9789401774765</v>
      </c>
      <c r="C515" s="1">
        <v>152.99</v>
      </c>
      <c r="D515" s="1" t="str">
        <f>"EUR"</f>
        <v>EUR</v>
      </c>
      <c r="E515" s="1" t="str">
        <f>"2016"</f>
        <v>2016</v>
      </c>
      <c r="F515" s="1" t="str">
        <f>"Maffucci"</f>
        <v>Maffucci</v>
      </c>
      <c r="G515" s="1" t="str">
        <f>"negarestanabi"</f>
        <v>negarestanabi</v>
      </c>
      <c r="J515" s="1"/>
    </row>
    <row r="516" spans="1:10" x14ac:dyDescent="0.2">
      <c r="A516" s="1" t="str">
        <f>"Fundamental Aspects of Plasma Chemical Physics: Kinetics"</f>
        <v>Fundamental Aspects of Plasma Chemical Physics: Kinetics</v>
      </c>
      <c r="B516" s="1" t="str">
        <f>"9781441981844"</f>
        <v>9781441981844</v>
      </c>
      <c r="C516" s="1">
        <v>89.95</v>
      </c>
      <c r="D516" s="1" t="str">
        <f>"EUR"</f>
        <v>EUR</v>
      </c>
      <c r="E516" s="1" t="str">
        <f>"2016"</f>
        <v>2016</v>
      </c>
      <c r="F516" s="1" t="str">
        <f>"Capitelli"</f>
        <v>Capitelli</v>
      </c>
      <c r="G516" s="1" t="str">
        <f>"negarestanabi"</f>
        <v>negarestanabi</v>
      </c>
      <c r="J516" s="1"/>
    </row>
    <row r="517" spans="1:10" x14ac:dyDescent="0.2">
      <c r="A517" s="1" t="str">
        <f>"Fundamental Astronomy. 6/ed"</f>
        <v>Fundamental Astronomy. 6/ed</v>
      </c>
      <c r="B517" s="1" t="str">
        <f>"9783662530443"</f>
        <v>9783662530443</v>
      </c>
      <c r="C517" s="1">
        <v>76.489999999999995</v>
      </c>
      <c r="D517" s="1" t="str">
        <f>"EUR"</f>
        <v>EUR</v>
      </c>
      <c r="E517" s="1" t="str">
        <f>"2017"</f>
        <v>2017</v>
      </c>
      <c r="F517" s="1" t="str">
        <f>"Karttunen"</f>
        <v>Karttunen</v>
      </c>
      <c r="G517" s="1" t="str">
        <f>"negarestanabi"</f>
        <v>negarestanabi</v>
      </c>
      <c r="J517" s="1"/>
    </row>
    <row r="518" spans="1:10" x14ac:dyDescent="0.2">
      <c r="A518" s="1" t="str">
        <f>"Fundamentals of Charged Particle Transport in Gases and Condensed Matter (Monograph Series in Physical Sciences)"</f>
        <v>Fundamentals of Charged Particle Transport in Gases and Condensed Matter (Monograph Series in Physical Sciences)</v>
      </c>
      <c r="B518" s="1" t="str">
        <f>"9781498736367"</f>
        <v>9781498736367</v>
      </c>
      <c r="C518" s="1">
        <v>103.5</v>
      </c>
      <c r="D518" s="1" t="str">
        <f>"GBP"</f>
        <v>GBP</v>
      </c>
      <c r="E518" s="1" t="str">
        <f>"2017"</f>
        <v>2017</v>
      </c>
      <c r="F518" s="1" t="str">
        <f>"ROBSON"</f>
        <v>ROBSON</v>
      </c>
      <c r="G518" s="1" t="str">
        <f>"sal"</f>
        <v>sal</v>
      </c>
      <c r="J518" s="1"/>
    </row>
    <row r="519" spans="1:10" x14ac:dyDescent="0.2">
      <c r="A519" s="1" t="str">
        <f>"Fundamentals of Classical Statistical Thermodynamics: Dissipation, Relaxation, and Fluctuation Theorems"</f>
        <v>Fundamentals of Classical Statistical Thermodynamics: Dissipation, Relaxation, and Fluctuation Theorems</v>
      </c>
      <c r="B519" s="1" t="str">
        <f>"9783527410736"</f>
        <v>9783527410736</v>
      </c>
      <c r="C519" s="1">
        <v>93.5</v>
      </c>
      <c r="D519" s="1" t="str">
        <f>"USD"</f>
        <v>USD</v>
      </c>
      <c r="E519" s="1" t="str">
        <f>"2016"</f>
        <v>2016</v>
      </c>
      <c r="F519" s="1" t="str">
        <f>"Evans"</f>
        <v>Evans</v>
      </c>
      <c r="G519" s="1" t="str">
        <f>"avanddanesh"</f>
        <v>avanddanesh</v>
      </c>
      <c r="J519" s="1"/>
    </row>
    <row r="520" spans="1:10" x14ac:dyDescent="0.2">
      <c r="A520" s="1" t="str">
        <f>"Fundamentals of Friction and Wear on the Nanoscale. 2/ed"</f>
        <v>Fundamentals of Friction and Wear on the Nanoscale. 2/ed</v>
      </c>
      <c r="B520" s="1" t="str">
        <f>"9783319105598"</f>
        <v>9783319105598</v>
      </c>
      <c r="C520" s="1">
        <v>161.99</v>
      </c>
      <c r="D520" s="1" t="str">
        <f>"EUR"</f>
        <v>EUR</v>
      </c>
      <c r="E520" s="1" t="str">
        <f>"2015"</f>
        <v>2015</v>
      </c>
      <c r="F520" s="1" t="str">
        <f>"Gnecco"</f>
        <v>Gnecco</v>
      </c>
      <c r="G520" s="1" t="str">
        <f>"negarestanabi"</f>
        <v>negarestanabi</v>
      </c>
      <c r="J520" s="1"/>
    </row>
    <row r="521" spans="1:10" x14ac:dyDescent="0.2">
      <c r="A521" s="1" t="str">
        <f>"Fundamentals of Gas Dynamics,2e"</f>
        <v>Fundamentals of Gas Dynamics,2e</v>
      </c>
      <c r="B521" s="1" t="str">
        <f>"9781118973394"</f>
        <v>9781118973394</v>
      </c>
      <c r="C521" s="1">
        <v>63.8</v>
      </c>
      <c r="D521" s="1" t="str">
        <f>"USD"</f>
        <v>USD</v>
      </c>
      <c r="E521" s="1" t="str">
        <f>"2014"</f>
        <v>2014</v>
      </c>
      <c r="F521" s="1" t="str">
        <f>"Babu"</f>
        <v>Babu</v>
      </c>
      <c r="G521" s="1" t="str">
        <f>"avanddanesh"</f>
        <v>avanddanesh</v>
      </c>
      <c r="J521" s="1"/>
    </row>
    <row r="522" spans="1:10" x14ac:dyDescent="0.2">
      <c r="A522" s="1" t="str">
        <f>"Fundamentals of Infrared and Visible Detector Operation and Testing,2e"</f>
        <v>Fundamentals of Infrared and Visible Detector Operation and Testing,2e</v>
      </c>
      <c r="B522" s="1" t="str">
        <f>"9781118094884"</f>
        <v>9781118094884</v>
      </c>
      <c r="C522" s="1">
        <v>116</v>
      </c>
      <c r="D522" s="1" t="str">
        <f>"USD"</f>
        <v>USD</v>
      </c>
      <c r="E522" s="1" t="str">
        <f>"2015"</f>
        <v>2015</v>
      </c>
      <c r="F522" s="1" t="str">
        <f>"Vincent"</f>
        <v>Vincent</v>
      </c>
      <c r="G522" s="1" t="str">
        <f>"avanddanesh"</f>
        <v>avanddanesh</v>
      </c>
      <c r="J522" s="1"/>
    </row>
    <row r="523" spans="1:10" x14ac:dyDescent="0.2">
      <c r="A523" s="1" t="str">
        <f>"FUNDAMENTALS OF INTERFEROMETRIC GRAVITATIONAL WAVE DETECTORS (SECOND EDITION)"</f>
        <v>FUNDAMENTALS OF INTERFEROMETRIC GRAVITATIONAL WAVE DETECTORS (SECOND EDITION)</v>
      </c>
      <c r="B523" s="1" t="str">
        <f>"9789813143074"</f>
        <v>9789813143074</v>
      </c>
      <c r="C523" s="1">
        <v>80.099999999999994</v>
      </c>
      <c r="D523" s="1" t="str">
        <f>"GBP"</f>
        <v>GBP</v>
      </c>
      <c r="E523" s="1" t="str">
        <f>"2017"</f>
        <v>2017</v>
      </c>
      <c r="F523" s="1" t="str">
        <f>"SAULSON PETER R"</f>
        <v>SAULSON PETER R</v>
      </c>
      <c r="G523" s="1" t="str">
        <f>"AsarBartar"</f>
        <v>AsarBartar</v>
      </c>
      <c r="J523" s="1"/>
    </row>
    <row r="524" spans="1:10" x14ac:dyDescent="0.2">
      <c r="A524" s="1" t="str">
        <f>"Fundamentals Of Laser Dynamics, HB"</f>
        <v>Fundamentals Of Laser Dynamics, HB</v>
      </c>
      <c r="B524" s="1" t="str">
        <f>"9788130909363"</f>
        <v>9788130909363</v>
      </c>
      <c r="C524" s="1">
        <v>21.77</v>
      </c>
      <c r="D524" s="1" t="str">
        <f>"USD"</f>
        <v>USD</v>
      </c>
      <c r="E524" s="1" t="str">
        <f>"2010"</f>
        <v>2010</v>
      </c>
      <c r="F524" s="1" t="str">
        <f>"Khanin"</f>
        <v>Khanin</v>
      </c>
      <c r="G524" s="1" t="str">
        <f>"supply"</f>
        <v>supply</v>
      </c>
      <c r="J524" s="1"/>
    </row>
    <row r="525" spans="1:10" x14ac:dyDescent="0.2">
      <c r="A525" s="1" t="str">
        <f>"Fundamentals of Nonlinear Optics, Second Edition"</f>
        <v>Fundamentals of Nonlinear Optics, Second Edition</v>
      </c>
      <c r="B525" s="1" t="str">
        <f>"9781498736831"</f>
        <v>9781498736831</v>
      </c>
      <c r="C525" s="1">
        <v>82.8</v>
      </c>
      <c r="D525" s="1" t="str">
        <f>"GBP"</f>
        <v>GBP</v>
      </c>
      <c r="E525" s="1" t="str">
        <f>"2017"</f>
        <v>2017</v>
      </c>
      <c r="F525" s="1" t="str">
        <f>"POWERS"</f>
        <v>POWERS</v>
      </c>
      <c r="G525" s="1" t="str">
        <f>"sal"</f>
        <v>sal</v>
      </c>
      <c r="J525" s="1"/>
    </row>
    <row r="526" spans="1:10" x14ac:dyDescent="0.2">
      <c r="A526" s="1" t="str">
        <f>"Fundamentals of Nuclear Physics"</f>
        <v>Fundamentals of Nuclear Physics</v>
      </c>
      <c r="B526" s="1" t="str">
        <f>"9784431553779"</f>
        <v>9784431553779</v>
      </c>
      <c r="C526" s="1">
        <v>98.99</v>
      </c>
      <c r="D526" s="1" t="str">
        <f>"EUR"</f>
        <v>EUR</v>
      </c>
      <c r="E526" s="1" t="str">
        <f>"2017"</f>
        <v>2017</v>
      </c>
      <c r="F526" s="1" t="str">
        <f>"Takigawa"</f>
        <v>Takigawa</v>
      </c>
      <c r="G526" s="1" t="str">
        <f>"negarestanabi"</f>
        <v>negarestanabi</v>
      </c>
      <c r="J526" s="1"/>
    </row>
    <row r="527" spans="1:10" x14ac:dyDescent="0.2">
      <c r="A527" s="1" t="str">
        <f>"Fundamentals of Optics, 2/ed"</f>
        <v>Fundamentals of Optics, 2/ed</v>
      </c>
      <c r="B527" s="1" t="str">
        <f>"9788120351462"</f>
        <v>9788120351462</v>
      </c>
      <c r="C527" s="1">
        <v>16.07</v>
      </c>
      <c r="D527" s="1" t="str">
        <f>"USD"</f>
        <v>USD</v>
      </c>
      <c r="E527" s="1" t="str">
        <f>"2015"</f>
        <v>2015</v>
      </c>
      <c r="F527" s="1" t="str">
        <f>"Singh"</f>
        <v>Singh</v>
      </c>
      <c r="G527" s="1" t="str">
        <f>"negarestanabi"</f>
        <v>negarestanabi</v>
      </c>
      <c r="J527" s="1"/>
    </row>
    <row r="528" spans="1:10" x14ac:dyDescent="0.2">
      <c r="A528" s="1" t="str">
        <f>"Fundamentals of Plastic Optical Fibers"</f>
        <v>Fundamentals of Plastic Optical Fibers</v>
      </c>
      <c r="B528" s="1" t="str">
        <f>"9783527410064"</f>
        <v>9783527410064</v>
      </c>
      <c r="C528" s="1">
        <v>127.5</v>
      </c>
      <c r="D528" s="1" t="str">
        <f>"USD"</f>
        <v>USD</v>
      </c>
      <c r="E528" s="1" t="str">
        <f>"2014"</f>
        <v>2014</v>
      </c>
      <c r="F528" s="1" t="str">
        <f>"Koike"</f>
        <v>Koike</v>
      </c>
      <c r="G528" s="1" t="str">
        <f>"avanddanesh"</f>
        <v>avanddanesh</v>
      </c>
      <c r="J528" s="1"/>
    </row>
    <row r="529" spans="1:10" x14ac:dyDescent="0.2">
      <c r="A529" s="1" t="str">
        <f>"Fundamentals of the Physical Theory of Diffraction,2e"</f>
        <v>Fundamentals of the Physical Theory of Diffraction,2e</v>
      </c>
      <c r="B529" s="1" t="str">
        <f>"9781118753668"</f>
        <v>9781118753668</v>
      </c>
      <c r="C529" s="1">
        <v>108.8</v>
      </c>
      <c r="D529" s="1" t="str">
        <f>"USD"</f>
        <v>USD</v>
      </c>
      <c r="E529" s="1" t="str">
        <f>"2014"</f>
        <v>2014</v>
      </c>
      <c r="F529" s="1" t="str">
        <f>"Ufimtsev"</f>
        <v>Ufimtsev</v>
      </c>
      <c r="G529" s="1" t="str">
        <f>"avanddanesh"</f>
        <v>avanddanesh</v>
      </c>
      <c r="J529" s="1"/>
    </row>
    <row r="530" spans="1:10" x14ac:dyDescent="0.2">
      <c r="A530" s="1" t="str">
        <f>"FUNDAMENTALS OF X-RAY PHYSICS, HB"</f>
        <v>FUNDAMENTALS OF X-RAY PHYSICS, HB</v>
      </c>
      <c r="B530" s="1" t="str">
        <f>"9781904602644"</f>
        <v>9781904602644</v>
      </c>
      <c r="C530" s="1">
        <v>105</v>
      </c>
      <c r="D530" s="1" t="str">
        <f>"USD"</f>
        <v>USD</v>
      </c>
      <c r="E530" s="1" t="str">
        <f>"2008"</f>
        <v>2008</v>
      </c>
      <c r="F530" s="1" t="str">
        <f>"Pavlinsky"</f>
        <v>Pavlinsky</v>
      </c>
      <c r="G530" s="1" t="str">
        <f>"supply"</f>
        <v>supply</v>
      </c>
      <c r="J530" s="1"/>
    </row>
    <row r="531" spans="1:10" x14ac:dyDescent="0.2">
      <c r="A531" s="1" t="str">
        <f>"Fusion Neutronics"</f>
        <v>Fusion Neutronics</v>
      </c>
      <c r="B531" s="1" t="str">
        <f>"9789811054686"</f>
        <v>9789811054686</v>
      </c>
      <c r="C531" s="1">
        <v>107.99</v>
      </c>
      <c r="D531" s="1" t="str">
        <f>"EUR"</f>
        <v>EUR</v>
      </c>
      <c r="E531" s="1" t="str">
        <f>"2017"</f>
        <v>2017</v>
      </c>
      <c r="F531" s="1" t="str">
        <f>"Wu"</f>
        <v>Wu</v>
      </c>
      <c r="G531" s="1" t="str">
        <f>"negarestanabi"</f>
        <v>negarestanabi</v>
      </c>
      <c r="J531" s="1"/>
    </row>
    <row r="532" spans="1:10" x14ac:dyDescent="0.2">
      <c r="A532" s="1" t="str">
        <f>"Galaxies at High Redshift and their Evolution over Cosmic Time (IAU S319)"</f>
        <v>Galaxies at High Redshift and their Evolution over Cosmic Time (IAU S319)</v>
      </c>
      <c r="B532" s="1" t="str">
        <f>"9781107138261"</f>
        <v>9781107138261</v>
      </c>
      <c r="C532" s="1">
        <v>60</v>
      </c>
      <c r="D532" s="1" t="str">
        <f>"GBP"</f>
        <v>GBP</v>
      </c>
      <c r="E532" s="1" t="str">
        <f>"2016"</f>
        <v>2016</v>
      </c>
      <c r="F532" s="1" t="str">
        <f>"Sugata Kaviraj"</f>
        <v>Sugata Kaviraj</v>
      </c>
      <c r="G532" s="1" t="str">
        <f>"arzinbooks"</f>
        <v>arzinbooks</v>
      </c>
      <c r="J532" s="1"/>
    </row>
    <row r="533" spans="1:10" x14ac:dyDescent="0.2">
      <c r="A533" s="1" t="str">
        <f>"Gas Dynamics, 6/edâ€…â€‚"</f>
        <v>Gas Dynamics, 6/edâ€…â€‚</v>
      </c>
      <c r="B533" s="1" t="str">
        <f>"9788120353169"</f>
        <v>9788120353169</v>
      </c>
      <c r="C533" s="1">
        <v>13.37</v>
      </c>
      <c r="D533" s="1" t="str">
        <f>"USD"</f>
        <v>USD</v>
      </c>
      <c r="E533" s="1" t="str">
        <f>"2017"</f>
        <v>2017</v>
      </c>
      <c r="F533" s="1" t="str">
        <f>"Rathakrishnan"</f>
        <v>Rathakrishnan</v>
      </c>
      <c r="G533" s="1" t="str">
        <f>"negarestanabi"</f>
        <v>negarestanabi</v>
      </c>
      <c r="J533" s="1"/>
    </row>
    <row r="534" spans="1:10" x14ac:dyDescent="0.2">
      <c r="A534" s="1" t="str">
        <f>"Gaseous Dielectrics X"</f>
        <v>Gaseous Dielectrics X</v>
      </c>
      <c r="B534" s="1" t="str">
        <f>"9780387232980"</f>
        <v>9780387232980</v>
      </c>
      <c r="C534" s="1">
        <v>103.99</v>
      </c>
      <c r="D534" s="1" t="str">
        <f>"USD"</f>
        <v>USD</v>
      </c>
      <c r="E534" s="1" t="str">
        <f>"2005"</f>
        <v>2005</v>
      </c>
      <c r="F534" s="1" t="str">
        <f>"Christophorou,L.G.(E"</f>
        <v>Christophorou,L.G.(E</v>
      </c>
      <c r="G534" s="1" t="str">
        <f>"safirketab"</f>
        <v>safirketab</v>
      </c>
      <c r="J534" s="1"/>
    </row>
    <row r="535" spans="1:10" x14ac:dyDescent="0.2">
      <c r="A535" s="1" t="str">
        <f>"General Relativity: A First Examination"</f>
        <v>General Relativity: A First Examination</v>
      </c>
      <c r="B535" s="1" t="str">
        <f>"9789813108479"</f>
        <v>9789813108479</v>
      </c>
      <c r="C535" s="1">
        <v>23.8</v>
      </c>
      <c r="D535" s="1" t="str">
        <f>"GBP"</f>
        <v>GBP</v>
      </c>
      <c r="E535" s="1" t="str">
        <f>"2016"</f>
        <v>2016</v>
      </c>
      <c r="F535" s="1" t="str">
        <f>"Marvin Blecher"</f>
        <v>Marvin Blecher</v>
      </c>
      <c r="G535" s="1" t="str">
        <f>"AsarBartar"</f>
        <v>AsarBartar</v>
      </c>
      <c r="J535" s="1"/>
    </row>
    <row r="536" spans="1:10" x14ac:dyDescent="0.2">
      <c r="A536" s="1" t="str">
        <f>"Generalized Sturmians and Atomic Spectra"</f>
        <v>Generalized Sturmians and Atomic Spectra</v>
      </c>
      <c r="B536" s="1" t="str">
        <f>"9789812568069"</f>
        <v>9789812568069</v>
      </c>
      <c r="C536" s="1">
        <v>36.270000000000003</v>
      </c>
      <c r="D536" s="1" t="str">
        <f>"USD"</f>
        <v>USD</v>
      </c>
      <c r="E536" s="1" t="str">
        <f>"2006"</f>
        <v>2006</v>
      </c>
      <c r="F536" s="1" t="str">
        <f>"Avery James &amp; Avery "</f>
        <v xml:space="preserve">Avery James &amp; Avery </v>
      </c>
      <c r="G536" s="1" t="str">
        <f>"kowkab"</f>
        <v>kowkab</v>
      </c>
      <c r="J536" s="1"/>
    </row>
    <row r="537" spans="1:10" x14ac:dyDescent="0.2">
      <c r="A537" s="1" t="str">
        <f>"Generic and Energy-Efficient Context-Aware Mobile Sensing"</f>
        <v>Generic and Energy-Efficient Context-Aware Mobile Sensing</v>
      </c>
      <c r="B537" s="1" t="str">
        <f>"9781498700108"</f>
        <v>9781498700108</v>
      </c>
      <c r="C537" s="1">
        <v>86.7</v>
      </c>
      <c r="D537" s="1" t="str">
        <f>"GBP"</f>
        <v>GBP</v>
      </c>
      <c r="E537" s="1" t="str">
        <f>"2015"</f>
        <v>2015</v>
      </c>
      <c r="F537" s="1" t="str">
        <f>"Chi Harold Liu"</f>
        <v>Chi Harold Liu</v>
      </c>
      <c r="G537" s="1" t="str">
        <f>"AsarBartar"</f>
        <v>AsarBartar</v>
      </c>
      <c r="J537" s="1"/>
    </row>
    <row r="538" spans="1:10" x14ac:dyDescent="0.2">
      <c r="A538" s="1" t="str">
        <f>"Geomechanics in Soil, Rock, and Environmental Engineering"</f>
        <v>Geomechanics in Soil, Rock, and Environmental Engineering</v>
      </c>
      <c r="B538" s="1" t="str">
        <f>"9781498739290"</f>
        <v>9781498739290</v>
      </c>
      <c r="C538" s="1">
        <v>55.79</v>
      </c>
      <c r="D538" s="1" t="str">
        <f>"GBP"</f>
        <v>GBP</v>
      </c>
      <c r="E538" s="1" t="str">
        <f>"2016"</f>
        <v>2016</v>
      </c>
      <c r="F538" s="1" t="str">
        <f>"SMALL"</f>
        <v>SMALL</v>
      </c>
      <c r="G538" s="1" t="str">
        <f>"sal"</f>
        <v>sal</v>
      </c>
      <c r="J538" s="1"/>
    </row>
    <row r="539" spans="1:10" x14ac:dyDescent="0.2">
      <c r="A539" s="1" t="str">
        <f>"Geometric Mechanics: Toward a Unification of Classical Physics,2e"</f>
        <v>Geometric Mechanics: Toward a Unification of Classical Physics,2e</v>
      </c>
      <c r="B539" s="1" t="str">
        <f>"9783527406838"</f>
        <v>9783527406838</v>
      </c>
      <c r="C539" s="1">
        <v>104.4</v>
      </c>
      <c r="D539" s="1" t="str">
        <f>"USD"</f>
        <v>USD</v>
      </c>
      <c r="E539" s="1" t="str">
        <f>"2007"</f>
        <v>2007</v>
      </c>
      <c r="F539" s="1" t="str">
        <f>"Talman"</f>
        <v>Talman</v>
      </c>
      <c r="G539" s="1" t="str">
        <f>"avanddanesh"</f>
        <v>avanddanesh</v>
      </c>
      <c r="J539" s="1"/>
    </row>
    <row r="540" spans="1:10" x14ac:dyDescent="0.2">
      <c r="A540" s="1" t="str">
        <f>"Geophysical Waves and Flows : Theory and Applications in the Atmosphere, Hydrosphere and Geosphere"</f>
        <v>Geophysical Waves and Flows : Theory and Applications in the Atmosphere, Hydrosphere and Geosphere</v>
      </c>
      <c r="B540" s="1" t="str">
        <f>"9781107186194"</f>
        <v>9781107186194</v>
      </c>
      <c r="C540" s="1">
        <v>57.8</v>
      </c>
      <c r="D540" s="1" t="str">
        <f>"GBP"</f>
        <v>GBP</v>
      </c>
      <c r="E540" s="1" t="str">
        <f>"2018"</f>
        <v>2018</v>
      </c>
      <c r="F540" s="1" t="str">
        <f>"Loper"</f>
        <v>Loper</v>
      </c>
      <c r="G540" s="1" t="str">
        <f>"arzinbooks"</f>
        <v>arzinbooks</v>
      </c>
      <c r="J540" s="1"/>
    </row>
    <row r="541" spans="1:10" x14ac:dyDescent="0.2">
      <c r="A541" s="1" t="str">
        <f>"GEOPHYSICS, HB"</f>
        <v>GEOPHYSICS, HB</v>
      </c>
      <c r="B541" s="1" t="str">
        <f>"9789380179452"</f>
        <v>9789380179452</v>
      </c>
      <c r="C541" s="1">
        <v>25.2</v>
      </c>
      <c r="D541" s="1" t="str">
        <f>"USD"</f>
        <v>USD</v>
      </c>
      <c r="E541" s="1" t="str">
        <f>"2010"</f>
        <v>2010</v>
      </c>
      <c r="F541" s="1" t="str">
        <f>"Bolger"</f>
        <v>Bolger</v>
      </c>
      <c r="G541" s="1" t="str">
        <f>"supply"</f>
        <v>supply</v>
      </c>
      <c r="J541" s="1"/>
    </row>
    <row r="542" spans="1:10" x14ac:dyDescent="0.2">
      <c r="A542" s="1" t="str">
        <f>"Glasses and the Glass Transition"</f>
        <v>Glasses and the Glass Transition</v>
      </c>
      <c r="B542" s="1" t="str">
        <f>"9783527409686"</f>
        <v>9783527409686</v>
      </c>
      <c r="C542" s="1">
        <v>144</v>
      </c>
      <c r="D542" s="1" t="str">
        <f>"USD"</f>
        <v>USD</v>
      </c>
      <c r="E542" s="1" t="str">
        <f>"2011"</f>
        <v>2011</v>
      </c>
      <c r="F542" s="1" t="str">
        <f>"Gutzow"</f>
        <v>Gutzow</v>
      </c>
      <c r="G542" s="1" t="str">
        <f>"safirketab"</f>
        <v>safirketab</v>
      </c>
      <c r="J542" s="1"/>
    </row>
    <row r="543" spans="1:10" x14ac:dyDescent="0.2">
      <c r="A543" s="1" t="str">
        <f>"GLASSY MATERIALS AND DISORDERED SOLIDS: AN INTRODUCTION TO THEIR STATISTICAL MECHANICS (REVISED EDIT"</f>
        <v>GLASSY MATERIALS AND DISORDERED SOLIDS: AN INTRODUCTION TO THEIR STATISTICAL MECHANICS (REVISED EDIT</v>
      </c>
      <c r="B543" s="1" t="str">
        <f>"9789814350174"</f>
        <v>9789814350174</v>
      </c>
      <c r="C543" s="1">
        <v>22.5</v>
      </c>
      <c r="D543" s="1" t="str">
        <f>"GBP"</f>
        <v>GBP</v>
      </c>
      <c r="E543" s="1" t="str">
        <f>"2011"</f>
        <v>2011</v>
      </c>
      <c r="F543" s="1" t="str">
        <f>"BINDER KURT ET AL"</f>
        <v>BINDER KURT ET AL</v>
      </c>
      <c r="G543" s="1" t="str">
        <f>"AsarBartar"</f>
        <v>AsarBartar</v>
      </c>
      <c r="J543" s="1"/>
    </row>
    <row r="544" spans="1:10" x14ac:dyDescent="0.2">
      <c r="A544" s="1" t="str">
        <f>"Global Structure of Visual Space"</f>
        <v>Global Structure of Visual Space</v>
      </c>
      <c r="B544" s="1" t="str">
        <f>"9789812388421"</f>
        <v>9789812388421</v>
      </c>
      <c r="C544" s="1">
        <v>28</v>
      </c>
      <c r="D544" s="1" t="str">
        <f>"GBP"</f>
        <v>GBP</v>
      </c>
      <c r="E544" s="1" t="str">
        <f>"2004"</f>
        <v>2004</v>
      </c>
      <c r="F544" s="1" t="str">
        <f>"Indow Tarow"</f>
        <v>Indow Tarow</v>
      </c>
      <c r="G544" s="1" t="str">
        <f>"kowkab"</f>
        <v>kowkab</v>
      </c>
      <c r="J544" s="1"/>
    </row>
    <row r="545" spans="1:10" x14ac:dyDescent="0.2">
      <c r="A545" s="1" t="str">
        <f>"GLOBALIZATION OF ENERGY: CHINA AND THE EUROPEAN UNION,THE"</f>
        <v>GLOBALIZATION OF ENERGY: CHINA AND THE EUROPEAN UNION,THE</v>
      </c>
      <c r="B545" s="1" t="str">
        <f>"9789004181120"</f>
        <v>9789004181120</v>
      </c>
      <c r="C545" s="1">
        <v>31.8</v>
      </c>
      <c r="D545" s="1" t="str">
        <f>"USD"</f>
        <v>USD</v>
      </c>
      <c r="E545" s="1" t="str">
        <f>"2010"</f>
        <v>2010</v>
      </c>
      <c r="F545" s="1" t="str">
        <f>"YANG GUANG(EDITOR)"</f>
        <v>YANG GUANG(EDITOR)</v>
      </c>
      <c r="G545" s="1" t="str">
        <f>"AsarBartar"</f>
        <v>AsarBartar</v>
      </c>
      <c r="J545" s="1"/>
    </row>
    <row r="546" spans="1:10" x14ac:dyDescent="0.2">
      <c r="A546" s="1" t="str">
        <f>"Graphene in Spintronics: Fundamentals and Applications"</f>
        <v>Graphene in Spintronics: Fundamentals and Applications</v>
      </c>
      <c r="B546" s="1" t="str">
        <f>"9789814669566"</f>
        <v>9789814669566</v>
      </c>
      <c r="C546" s="1">
        <v>91.8</v>
      </c>
      <c r="D546" s="1" t="str">
        <f t="shared" ref="D546:D551" si="16">"GBP"</f>
        <v>GBP</v>
      </c>
      <c r="E546" s="1" t="str">
        <f t="shared" ref="E546:E551" si="17">"2016"</f>
        <v>2016</v>
      </c>
      <c r="F546" s="1" t="str">
        <f>"INOUE"</f>
        <v>INOUE</v>
      </c>
      <c r="G546" s="1" t="str">
        <f t="shared" ref="G546:G551" si="18">"sal"</f>
        <v>sal</v>
      </c>
      <c r="J546" s="1"/>
    </row>
    <row r="547" spans="1:10" x14ac:dyDescent="0.2">
      <c r="A547" s="1" t="str">
        <f>"Graphene Science Handbook: Applications and Industrialization"</f>
        <v>Graphene Science Handbook: Applications and Industrialization</v>
      </c>
      <c r="B547" s="1" t="str">
        <f>"9781466591332"</f>
        <v>9781466591332</v>
      </c>
      <c r="C547" s="1">
        <v>146.69999999999999</v>
      </c>
      <c r="D547" s="1" t="str">
        <f t="shared" si="16"/>
        <v>GBP</v>
      </c>
      <c r="E547" s="1" t="str">
        <f t="shared" si="17"/>
        <v>2016</v>
      </c>
      <c r="F547" s="1" t="str">
        <f>"Aliofkhazraei"</f>
        <v>Aliofkhazraei</v>
      </c>
      <c r="G547" s="1" t="str">
        <f t="shared" si="18"/>
        <v>sal</v>
      </c>
      <c r="J547" s="1"/>
    </row>
    <row r="548" spans="1:10" x14ac:dyDescent="0.2">
      <c r="A548" s="1" t="str">
        <f>"Graphene Science Handbook: Fabrication Methods"</f>
        <v>Graphene Science Handbook: Fabrication Methods</v>
      </c>
      <c r="B548" s="1" t="str">
        <f>"9781466591271"</f>
        <v>9781466591271</v>
      </c>
      <c r="C548" s="1">
        <v>146.69999999999999</v>
      </c>
      <c r="D548" s="1" t="str">
        <f t="shared" si="16"/>
        <v>GBP</v>
      </c>
      <c r="E548" s="1" t="str">
        <f t="shared" si="17"/>
        <v>2016</v>
      </c>
      <c r="F548" s="1" t="str">
        <f>"Aliofkhazraei"</f>
        <v>Aliofkhazraei</v>
      </c>
      <c r="G548" s="1" t="str">
        <f t="shared" si="18"/>
        <v>sal</v>
      </c>
      <c r="J548" s="1"/>
    </row>
    <row r="549" spans="1:10" x14ac:dyDescent="0.2">
      <c r="A549" s="1" t="str">
        <f>"Graphene Science Handbook: Mechanical and Chemical Properties"</f>
        <v>Graphene Science Handbook: Mechanical and Chemical Properties</v>
      </c>
      <c r="B549" s="1" t="str">
        <f>"9781466591233"</f>
        <v>9781466591233</v>
      </c>
      <c r="C549" s="1">
        <v>146.69999999999999</v>
      </c>
      <c r="D549" s="1" t="str">
        <f t="shared" si="16"/>
        <v>GBP</v>
      </c>
      <c r="E549" s="1" t="str">
        <f t="shared" si="17"/>
        <v>2016</v>
      </c>
      <c r="F549" s="1" t="str">
        <f>"Aliofkhazraei"</f>
        <v>Aliofkhazraei</v>
      </c>
      <c r="G549" s="1" t="str">
        <f t="shared" si="18"/>
        <v>sal</v>
      </c>
      <c r="J549" s="1"/>
    </row>
    <row r="550" spans="1:10" x14ac:dyDescent="0.2">
      <c r="A550" s="1" t="str">
        <f>"Graphene Science Handbook: Nanostructure and Atomic Arrangement"</f>
        <v>Graphene Science Handbook: Nanostructure and Atomic Arrangement</v>
      </c>
      <c r="B550" s="1" t="str">
        <f>"9781466591370"</f>
        <v>9781466591370</v>
      </c>
      <c r="C550" s="1">
        <v>146.69999999999999</v>
      </c>
      <c r="D550" s="1" t="str">
        <f t="shared" si="16"/>
        <v>GBP</v>
      </c>
      <c r="E550" s="1" t="str">
        <f t="shared" si="17"/>
        <v>2016</v>
      </c>
      <c r="F550" s="1" t="str">
        <f>"Aliofkhazraei"</f>
        <v>Aliofkhazraei</v>
      </c>
      <c r="G550" s="1" t="str">
        <f t="shared" si="18"/>
        <v>sal</v>
      </c>
      <c r="J550" s="1"/>
    </row>
    <row r="551" spans="1:10" x14ac:dyDescent="0.2">
      <c r="A551" s="1" t="str">
        <f>"Graphene Science Handbook: Size-Dependent Properties"</f>
        <v>Graphene Science Handbook: Size-Dependent Properties</v>
      </c>
      <c r="B551" s="1" t="str">
        <f>"9781466591356"</f>
        <v>9781466591356</v>
      </c>
      <c r="C551" s="1">
        <v>136.80000000000001</v>
      </c>
      <c r="D551" s="1" t="str">
        <f t="shared" si="16"/>
        <v>GBP</v>
      </c>
      <c r="E551" s="1" t="str">
        <f t="shared" si="17"/>
        <v>2016</v>
      </c>
      <c r="F551" s="1" t="str">
        <f>"Aliofkhazraei"</f>
        <v>Aliofkhazraei</v>
      </c>
      <c r="G551" s="1" t="str">
        <f t="shared" si="18"/>
        <v>sal</v>
      </c>
      <c r="J551" s="1"/>
    </row>
    <row r="552" spans="1:10" x14ac:dyDescent="0.2">
      <c r="A552" s="1" t="str">
        <f>"Gravity and the Quantum: Pedagogical Essays on Cosmology. Astrophysics. and Quantum Gravity "</f>
        <v xml:space="preserve">Gravity and the Quantum: Pedagogical Essays on Cosmology. Astrophysics. and Quantum Gravity </v>
      </c>
      <c r="B552" s="1" t="str">
        <f>"9783319516998"</f>
        <v>9783319516998</v>
      </c>
      <c r="C552" s="1">
        <v>98.99</v>
      </c>
      <c r="D552" s="1" t="str">
        <f>"EUR"</f>
        <v>EUR</v>
      </c>
      <c r="E552" s="1" t="str">
        <f>"2017"</f>
        <v>2017</v>
      </c>
      <c r="F552" s="1" t="str">
        <f>"Bagla"</f>
        <v>Bagla</v>
      </c>
      <c r="G552" s="1" t="str">
        <f>"negarestanabi"</f>
        <v>negarestanabi</v>
      </c>
      <c r="J552" s="1"/>
    </row>
    <row r="553" spans="1:10" x14ac:dyDescent="0.2">
      <c r="A553" s="1" t="str">
        <f>"Gravity: Where Do We Stand?"</f>
        <v>Gravity: Where Do We Stand?</v>
      </c>
      <c r="B553" s="1" t="str">
        <f>"9783319202235"</f>
        <v>9783319202235</v>
      </c>
      <c r="C553" s="1">
        <v>85.49</v>
      </c>
      <c r="D553" s="1" t="str">
        <f>"EUR"</f>
        <v>EUR</v>
      </c>
      <c r="E553" s="1" t="str">
        <f>"2016"</f>
        <v>2016</v>
      </c>
      <c r="F553" s="1" t="str">
        <f>"Peron"</f>
        <v>Peron</v>
      </c>
      <c r="G553" s="1" t="str">
        <f>"negarestanabi"</f>
        <v>negarestanabi</v>
      </c>
      <c r="J553" s="1"/>
    </row>
    <row r="554" spans="1:10" x14ac:dyDescent="0.2">
      <c r="A554" s="1" t="str">
        <f>"Green Fiscal Reform for a Sustainable Future: Reform, Innovation and Renewable Energy (Critical Issues in Environmental Taxation series, #17)"</f>
        <v>Green Fiscal Reform for a Sustainable Future: Reform, Innovation and Renewable Energy (Critical Issues in Environmental Taxation series, #17)</v>
      </c>
      <c r="B554" s="1" t="str">
        <f>"9781786431189"</f>
        <v>9781786431189</v>
      </c>
      <c r="C554" s="1">
        <v>63.75</v>
      </c>
      <c r="D554" s="1" t="str">
        <f>"GBP"</f>
        <v>GBP</v>
      </c>
      <c r="E554" s="1" t="str">
        <f>"2016"</f>
        <v>2016</v>
      </c>
      <c r="F554" s="1" t="str">
        <f>"Natalie P. Stoianof"</f>
        <v>Natalie P. Stoianof</v>
      </c>
      <c r="G554" s="1" t="str">
        <f>"AsarBartar"</f>
        <v>AsarBartar</v>
      </c>
      <c r="J554" s="1"/>
    </row>
    <row r="555" spans="1:10" x14ac:dyDescent="0.2">
      <c r="A555" s="1" t="str">
        <f>"Greenâ€™s Functions in Classical Physics"</f>
        <v>Greenâ€™s Functions in Classical Physics</v>
      </c>
      <c r="B555" s="1" t="str">
        <f>"9783319524368"</f>
        <v>9783319524368</v>
      </c>
      <c r="C555" s="1">
        <v>40.49</v>
      </c>
      <c r="D555" s="1" t="str">
        <f>"EUR"</f>
        <v>EUR</v>
      </c>
      <c r="E555" s="1" t="str">
        <f>"2017"</f>
        <v>2017</v>
      </c>
      <c r="F555" s="1" t="str">
        <f>"Rother"</f>
        <v>Rother</v>
      </c>
      <c r="G555" s="1" t="str">
        <f>"negarestanabi"</f>
        <v>negarestanabi</v>
      </c>
      <c r="J555" s="1"/>
    </row>
    <row r="556" spans="1:10" x14ac:dyDescent="0.2">
      <c r="A556" s="1" t="str">
        <f>"GREENER ENERGY SYSTEMS"</f>
        <v>GREENER ENERGY SYSTEMS</v>
      </c>
      <c r="B556" s="1" t="str">
        <f>"9781439899045"</f>
        <v>9781439899045</v>
      </c>
      <c r="C556" s="1">
        <v>49.8</v>
      </c>
      <c r="D556" s="1" t="str">
        <f>"GBP"</f>
        <v>GBP</v>
      </c>
      <c r="E556" s="1" t="str">
        <f>"2012"</f>
        <v>2012</v>
      </c>
      <c r="F556" s="1" t="str">
        <f>"JEFFS"</f>
        <v>JEFFS</v>
      </c>
      <c r="G556" s="1" t="str">
        <f>"AsarBartar"</f>
        <v>AsarBartar</v>
      </c>
      <c r="J556" s="1"/>
    </row>
    <row r="557" spans="1:10" x14ac:dyDescent="0.2">
      <c r="A557" s="1" t="str">
        <f>"Grid Generation Methods. 3/ed"</f>
        <v>Grid Generation Methods. 3/ed</v>
      </c>
      <c r="B557" s="1" t="str">
        <f>"9783319578453"</f>
        <v>9783319578453</v>
      </c>
      <c r="C557" s="1">
        <v>112.49</v>
      </c>
      <c r="D557" s="1" t="str">
        <f>"EUR"</f>
        <v>EUR</v>
      </c>
      <c r="E557" s="1" t="str">
        <f>"2017"</f>
        <v>2017</v>
      </c>
      <c r="F557" s="1" t="str">
        <f>"Liseikin"</f>
        <v>Liseikin</v>
      </c>
      <c r="G557" s="1" t="str">
        <f>"negarestanabi"</f>
        <v>negarestanabi</v>
      </c>
      <c r="J557" s="1"/>
    </row>
    <row r="558" spans="1:10" x14ac:dyDescent="0.2">
      <c r="A558" s="1" t="str">
        <f>"GROUP AND REPRESENTATION THEORY"</f>
        <v>GROUP AND REPRESENTATION THEORY</v>
      </c>
      <c r="B558" s="1" t="str">
        <f>"9789813202443"</f>
        <v>9789813202443</v>
      </c>
      <c r="C558" s="1">
        <v>65.7</v>
      </c>
      <c r="D558" s="1" t="str">
        <f>"GBP"</f>
        <v>GBP</v>
      </c>
      <c r="E558" s="1" t="str">
        <f>"2017"</f>
        <v>2017</v>
      </c>
      <c r="F558" s="1" t="str">
        <f>"VERGADOS JOHN D"</f>
        <v>VERGADOS JOHN D</v>
      </c>
      <c r="G558" s="1" t="str">
        <f>"AsarBartar"</f>
        <v>AsarBartar</v>
      </c>
      <c r="J558" s="1"/>
    </row>
    <row r="559" spans="1:10" x14ac:dyDescent="0.2">
      <c r="A559" s="1" t="str">
        <f>"Group Representation for Quantum Theory"</f>
        <v>Group Representation for Quantum Theory</v>
      </c>
      <c r="B559" s="1" t="str">
        <f>"9783319449043"</f>
        <v>9783319449043</v>
      </c>
      <c r="C559" s="1">
        <v>98.99</v>
      </c>
      <c r="D559" s="1" t="str">
        <f>"EUR"</f>
        <v>EUR</v>
      </c>
      <c r="E559" s="1" t="str">
        <f>"2017"</f>
        <v>2017</v>
      </c>
      <c r="F559" s="1" t="str">
        <f>"Hayashi"</f>
        <v>Hayashi</v>
      </c>
      <c r="G559" s="1" t="str">
        <f>"negarestanabi"</f>
        <v>negarestanabi</v>
      </c>
      <c r="J559" s="1"/>
    </row>
    <row r="560" spans="1:10" x14ac:dyDescent="0.2">
      <c r="A560" s="1" t="str">
        <f>"Groups and ManifoldsLectures for Physicists with Examples in Mathematica"</f>
        <v>Groups and ManifoldsLectures for Physicists with Examples in Mathematica</v>
      </c>
      <c r="B560" s="1" t="str">
        <f>"9783110551198"</f>
        <v>9783110551198</v>
      </c>
      <c r="C560" s="1">
        <v>71.95</v>
      </c>
      <c r="D560" s="1" t="str">
        <f>"EUR"</f>
        <v>EUR</v>
      </c>
      <c r="E560" s="1" t="str">
        <f>"2018"</f>
        <v>2018</v>
      </c>
      <c r="F560" s="1" t="str">
        <f>"FrÃ©, Pietro Giusepp"</f>
        <v>FrÃ©, Pietro Giusepp</v>
      </c>
      <c r="G560" s="1" t="str">
        <f>"AsarBartar"</f>
        <v>AsarBartar</v>
      </c>
      <c r="J560" s="1"/>
    </row>
    <row r="561" spans="1:10" x14ac:dyDescent="0.2">
      <c r="A561" s="1" t="str">
        <f>"Group-Theoretical Approach to Quantum Optics: Models of Atom-Field Interactions"</f>
        <v>Group-Theoretical Approach to Quantum Optics: Models of Atom-Field Interactions</v>
      </c>
      <c r="B561" s="1" t="str">
        <f>"9783527408795"</f>
        <v>9783527408795</v>
      </c>
      <c r="C561" s="1">
        <v>93.6</v>
      </c>
      <c r="D561" s="1" t="str">
        <f>"USD"</f>
        <v>USD</v>
      </c>
      <c r="E561" s="1" t="str">
        <f>"2009"</f>
        <v>2009</v>
      </c>
      <c r="F561" s="1" t="str">
        <f>"Klimov"</f>
        <v>Klimov</v>
      </c>
      <c r="G561" s="1" t="str">
        <f>"avanddanesh"</f>
        <v>avanddanesh</v>
      </c>
      <c r="J561" s="1"/>
    </row>
    <row r="562" spans="1:10" x14ac:dyDescent="0.2">
      <c r="A562" s="1" t="str">
        <f>"Guide to Synchrotron Radiation Science, A"</f>
        <v>Guide to Synchrotron Radiation Science, A</v>
      </c>
      <c r="B562" s="1" t="str">
        <f>"9788184873733"</f>
        <v>9788184873733</v>
      </c>
      <c r="C562" s="1">
        <v>48.97</v>
      </c>
      <c r="D562" s="1" t="str">
        <f>"GBP"</f>
        <v>GBP</v>
      </c>
      <c r="E562" s="1" t="str">
        <f>"2016"</f>
        <v>2016</v>
      </c>
      <c r="F562" s="1" t="str">
        <f>"Watanabe"</f>
        <v>Watanabe</v>
      </c>
      <c r="G562" s="1" t="str">
        <f>"jahanadib"</f>
        <v>jahanadib</v>
      </c>
      <c r="J562" s="1"/>
    </row>
    <row r="563" spans="1:10" x14ac:dyDescent="0.2">
      <c r="A563" s="1" t="str">
        <f>"Hadrons at Finite Temperature"</f>
        <v>Hadrons at Finite Temperature</v>
      </c>
      <c r="B563" s="1" t="str">
        <f>"9781107145313"</f>
        <v>9781107145313</v>
      </c>
      <c r="C563" s="1">
        <v>67.5</v>
      </c>
      <c r="D563" s="1" t="str">
        <f>"GBP"</f>
        <v>GBP</v>
      </c>
      <c r="E563" s="1" t="str">
        <f>"2016"</f>
        <v>2016</v>
      </c>
      <c r="F563" s="1" t="str">
        <f>"Samirnath Mallik , S"</f>
        <v>Samirnath Mallik , S</v>
      </c>
      <c r="G563" s="1" t="str">
        <f>"arzinbooks"</f>
        <v>arzinbooks</v>
      </c>
      <c r="J563" s="1"/>
    </row>
    <row r="564" spans="1:10" x14ac:dyDescent="0.2">
      <c r="A564" s="1" t="str">
        <f>"HANDBOOK OF ACCELERATOR PHYSICS AND ENGINEERING (2ND EDITION)"</f>
        <v>HANDBOOK OF ACCELERATOR PHYSICS AND ENGINEERING (2ND EDITION)</v>
      </c>
      <c r="B564" s="1" t="str">
        <f>"9789814417174"</f>
        <v>9789814417174</v>
      </c>
      <c r="C564" s="1">
        <v>42.6</v>
      </c>
      <c r="D564" s="1" t="str">
        <f>"GBP"</f>
        <v>GBP</v>
      </c>
      <c r="E564" s="1" t="str">
        <f>"2013"</f>
        <v>2013</v>
      </c>
      <c r="F564" s="1" t="str">
        <f>"CHAO ALEXANDER WU E"</f>
        <v>CHAO ALEXANDER WU E</v>
      </c>
      <c r="G564" s="1" t="str">
        <f>"AsarBartar"</f>
        <v>AsarBartar</v>
      </c>
      <c r="J564" s="1"/>
    </row>
    <row r="565" spans="1:10" x14ac:dyDescent="0.2">
      <c r="A565" s="1" t="str">
        <f>"Handbook of Advanced Radioactive Waste Conditioning Technologies"</f>
        <v>Handbook of Advanced Radioactive Waste Conditioning Technologies</v>
      </c>
      <c r="B565" s="1" t="str">
        <f>"9780081014776"</f>
        <v>9780081014776</v>
      </c>
      <c r="C565" s="1">
        <v>252</v>
      </c>
      <c r="D565" s="1" t="str">
        <f>"USD"</f>
        <v>USD</v>
      </c>
      <c r="E565" s="1" t="str">
        <f>"2017"</f>
        <v>2017</v>
      </c>
      <c r="F565" s="1" t="str">
        <f>"Ojovan"</f>
        <v>Ojovan</v>
      </c>
      <c r="G565" s="1" t="str">
        <f>"dehkadehketab"</f>
        <v>dehkadehketab</v>
      </c>
      <c r="J565" s="1"/>
    </row>
    <row r="566" spans="1:10" x14ac:dyDescent="0.2">
      <c r="A566" s="1" t="str">
        <f>"HANDBOOK OF BIOSENSORS AND BIOSENSOR KINETICS, HB"</f>
        <v>HANDBOOK OF BIOSENSORS AND BIOSENSOR KINETICS, HB</v>
      </c>
      <c r="B566" s="1" t="str">
        <f>"9789380090566"</f>
        <v>9789380090566</v>
      </c>
      <c r="C566" s="1">
        <v>21.42</v>
      </c>
      <c r="D566" s="1" t="str">
        <f>"USD"</f>
        <v>USD</v>
      </c>
      <c r="E566" s="1" t="str">
        <f>"2012"</f>
        <v>2012</v>
      </c>
      <c r="F566" s="1" t="str">
        <f>"Devi"</f>
        <v>Devi</v>
      </c>
      <c r="G566" s="1" t="str">
        <f>"supply"</f>
        <v>supply</v>
      </c>
      <c r="J566" s="1"/>
    </row>
    <row r="567" spans="1:10" x14ac:dyDescent="0.2">
      <c r="A567" s="1" t="str">
        <f>"Handbook of Granular Materials"</f>
        <v>Handbook of Granular Materials</v>
      </c>
      <c r="B567" s="1" t="str">
        <f>"9781466509962"</f>
        <v>9781466509962</v>
      </c>
      <c r="C567" s="1">
        <v>86.7</v>
      </c>
      <c r="D567" s="1" t="str">
        <f>"GBP"</f>
        <v>GBP</v>
      </c>
      <c r="E567" s="1" t="str">
        <f>"2016"</f>
        <v>2016</v>
      </c>
      <c r="F567" s="1" t="str">
        <f>"Scott Franklin, Mar"</f>
        <v>Scott Franklin, Mar</v>
      </c>
      <c r="G567" s="1" t="str">
        <f>"AsarBartar"</f>
        <v>AsarBartar</v>
      </c>
      <c r="J567" s="1"/>
    </row>
    <row r="568" spans="1:10" x14ac:dyDescent="0.2">
      <c r="A568" s="1" t="str">
        <f>"Handbook of Laser Welding Technologies"</f>
        <v>Handbook of Laser Welding Technologies</v>
      </c>
      <c r="B568" s="1" t="str">
        <f>"9780081013960"</f>
        <v>9780081013960</v>
      </c>
      <c r="C568" s="1">
        <v>283.5</v>
      </c>
      <c r="D568" s="1" t="str">
        <f t="shared" ref="D568:D574" si="19">"USD"</f>
        <v>USD</v>
      </c>
      <c r="E568" s="1" t="str">
        <f>"2017"</f>
        <v>2017</v>
      </c>
      <c r="F568" s="1" t="str">
        <f>"Katayama"</f>
        <v>Katayama</v>
      </c>
      <c r="G568" s="1" t="str">
        <f>"dehkadehketab"</f>
        <v>dehkadehketab</v>
      </c>
      <c r="J568" s="1"/>
    </row>
    <row r="569" spans="1:10" x14ac:dyDescent="0.2">
      <c r="A569" s="1" t="str">
        <f>"Handbook of Machine and Computer Vision: The Guide for Developers and Users,2e"</f>
        <v>Handbook of Machine and Computer Vision: The Guide for Developers and Users,2e</v>
      </c>
      <c r="B569" s="1" t="str">
        <f>"9783527413393"</f>
        <v>9783527413393</v>
      </c>
      <c r="C569" s="1">
        <v>279</v>
      </c>
      <c r="D569" s="1" t="str">
        <f t="shared" si="19"/>
        <v>USD</v>
      </c>
      <c r="E569" s="1" t="str">
        <f>"2017"</f>
        <v>2017</v>
      </c>
      <c r="F569" s="1" t="str">
        <f>"Hornberg"</f>
        <v>Hornberg</v>
      </c>
      <c r="G569" s="1" t="str">
        <f>"avanddanesh"</f>
        <v>avanddanesh</v>
      </c>
      <c r="J569" s="1"/>
    </row>
    <row r="570" spans="1:10" x14ac:dyDescent="0.2">
      <c r="A570" s="1" t="str">
        <f>"Handbook of Metrology 2V Set"</f>
        <v>Handbook of Metrology 2V Set</v>
      </c>
      <c r="B570" s="1" t="str">
        <f>"9783527406661"</f>
        <v>9783527406661</v>
      </c>
      <c r="C570" s="1">
        <v>178.4</v>
      </c>
      <c r="D570" s="1" t="str">
        <f t="shared" si="19"/>
        <v>USD</v>
      </c>
      <c r="E570" s="1" t="str">
        <f>"2010"</f>
        <v>2010</v>
      </c>
      <c r="F570" s="1" t="str">
        <f>"Kochsiek"</f>
        <v>Kochsiek</v>
      </c>
      <c r="G570" s="1" t="str">
        <f>"avanddanesh"</f>
        <v>avanddanesh</v>
      </c>
      <c r="J570" s="1"/>
    </row>
    <row r="571" spans="1:10" x14ac:dyDescent="0.2">
      <c r="A571" s="1" t="str">
        <f>"Handbook of Optical Systems, 5V Set"</f>
        <v>Handbook of Optical Systems, 5V Set</v>
      </c>
      <c r="B571" s="1" t="str">
        <f>"9783527403820"</f>
        <v>9783527403820</v>
      </c>
      <c r="C571" s="1">
        <v>1604</v>
      </c>
      <c r="D571" s="1" t="str">
        <f t="shared" si="19"/>
        <v>USD</v>
      </c>
      <c r="E571" s="1" t="str">
        <f>"2015"</f>
        <v>2015</v>
      </c>
      <c r="F571" s="1" t="str">
        <f>"Gross"</f>
        <v>Gross</v>
      </c>
      <c r="G571" s="1" t="str">
        <f>"avanddanesh"</f>
        <v>avanddanesh</v>
      </c>
      <c r="J571" s="1"/>
    </row>
    <row r="572" spans="1:10" x14ac:dyDescent="0.2">
      <c r="A572" s="1" t="str">
        <f>"Handbook of Solid State Diffusion: Volume 1, Diffusion Fundamentals and Techniques"</f>
        <v>Handbook of Solid State Diffusion: Volume 1, Diffusion Fundamentals and Techniques</v>
      </c>
      <c r="B572" s="1" t="str">
        <f>"9780128042878"</f>
        <v>9780128042878</v>
      </c>
      <c r="C572" s="1">
        <v>247.5</v>
      </c>
      <c r="D572" s="1" t="str">
        <f t="shared" si="19"/>
        <v>USD</v>
      </c>
      <c r="E572" s="1" t="str">
        <f>"2017"</f>
        <v>2017</v>
      </c>
      <c r="F572" s="1" t="str">
        <f>"Paul and Divinski"</f>
        <v>Paul and Divinski</v>
      </c>
      <c r="G572" s="1" t="str">
        <f>"dehkadehketab"</f>
        <v>dehkadehketab</v>
      </c>
      <c r="J572" s="1"/>
    </row>
    <row r="573" spans="1:10" x14ac:dyDescent="0.2">
      <c r="A573" s="1" t="str">
        <f>"Handbook of Solid State Diffusion: Volume 2, Diffusion Analysis in Material Applications"</f>
        <v>Handbook of Solid State Diffusion: Volume 2, Diffusion Analysis in Material Applications</v>
      </c>
      <c r="B573" s="1" t="str">
        <f>"9780128045480"</f>
        <v>9780128045480</v>
      </c>
      <c r="C573" s="1">
        <v>247.5</v>
      </c>
      <c r="D573" s="1" t="str">
        <f t="shared" si="19"/>
        <v>USD</v>
      </c>
      <c r="E573" s="1" t="str">
        <f>"2017"</f>
        <v>2017</v>
      </c>
      <c r="F573" s="1" t="str">
        <f>"Paul and Divinski"</f>
        <v>Paul and Divinski</v>
      </c>
      <c r="G573" s="1" t="str">
        <f>"dehkadehketab"</f>
        <v>dehkadehketab</v>
      </c>
      <c r="J573" s="1"/>
    </row>
    <row r="574" spans="1:10" x14ac:dyDescent="0.2">
      <c r="A574" s="1" t="str">
        <f>"Handbook of Spallation Research - Theory, Experiments and Applications"</f>
        <v>Handbook of Spallation Research - Theory, Experiments and Applications</v>
      </c>
      <c r="B574" s="1" t="str">
        <f>"9783527407149"</f>
        <v>9783527407149</v>
      </c>
      <c r="C574" s="1">
        <v>202.5</v>
      </c>
      <c r="D574" s="1" t="str">
        <f t="shared" si="19"/>
        <v>USD</v>
      </c>
      <c r="E574" s="1" t="str">
        <f>"2009"</f>
        <v>2009</v>
      </c>
      <c r="F574" s="1" t="str">
        <f>"Filges"</f>
        <v>Filges</v>
      </c>
      <c r="G574" s="1" t="str">
        <f>"safirketab"</f>
        <v>safirketab</v>
      </c>
      <c r="J574" s="1"/>
    </row>
    <row r="575" spans="1:10" x14ac:dyDescent="0.2">
      <c r="A575" s="1" t="str">
        <f>"Handbook of the Band Structure of Elemental Solids: From Z = 1 To Z = 112. 2/ed"</f>
        <v>Handbook of the Band Structure of Elemental Solids: From Z = 1 To Z = 112. 2/ed</v>
      </c>
      <c r="B575" s="1" t="str">
        <f>"9781441982636"</f>
        <v>9781441982636</v>
      </c>
      <c r="C575" s="1">
        <v>197.99</v>
      </c>
      <c r="D575" s="1" t="str">
        <f>"EUR"</f>
        <v>EUR</v>
      </c>
      <c r="E575" s="1" t="str">
        <f>"2015"</f>
        <v>2015</v>
      </c>
      <c r="F575" s="1" t="str">
        <f>"Papaconstantopoulos"</f>
        <v>Papaconstantopoulos</v>
      </c>
      <c r="G575" s="1" t="str">
        <f>"negarestanabi"</f>
        <v>negarestanabi</v>
      </c>
      <c r="J575" s="1"/>
    </row>
    <row r="576" spans="1:10" x14ac:dyDescent="0.2">
      <c r="A576" s="1" t="str">
        <f>"Handbook on Concentrator Photovoltaic Technology"</f>
        <v>Handbook on Concentrator Photovoltaic Technology</v>
      </c>
      <c r="B576" s="1" t="str">
        <f>"9781118472965"</f>
        <v>9781118472965</v>
      </c>
      <c r="C576" s="1">
        <v>102</v>
      </c>
      <c r="D576" s="1" t="str">
        <f>"USD"</f>
        <v>USD</v>
      </c>
      <c r="E576" s="1" t="str">
        <f>"2016"</f>
        <v>2016</v>
      </c>
      <c r="F576" s="1" t="str">
        <f>"Algora"</f>
        <v>Algora</v>
      </c>
      <c r="G576" s="1" t="str">
        <f>"avanddanesh"</f>
        <v>avanddanesh</v>
      </c>
      <c r="J576" s="1"/>
    </row>
    <row r="577" spans="1:10" x14ac:dyDescent="0.2">
      <c r="A577" s="1" t="str">
        <f>"HANDBOOK ON OPTICAL CONSTANTS OF METALS, THE: IN TABLES AND FIGURES"</f>
        <v>HANDBOOK ON OPTICAL CONSTANTS OF METALS, THE: IN TABLES AND FIGURES</v>
      </c>
      <c r="B577" s="1" t="str">
        <f>"9789814405942"</f>
        <v>9789814405942</v>
      </c>
      <c r="C577" s="1">
        <v>93.6</v>
      </c>
      <c r="D577" s="1" t="str">
        <f>"GBP"</f>
        <v>GBP</v>
      </c>
      <c r="E577" s="1" t="str">
        <f>"2012"</f>
        <v>2012</v>
      </c>
      <c r="F577" s="1" t="str">
        <f>"ADACHI SADAO"</f>
        <v>ADACHI SADAO</v>
      </c>
      <c r="G577" s="1" t="str">
        <f>"AsarBartar"</f>
        <v>AsarBartar</v>
      </c>
      <c r="J577" s="1"/>
    </row>
    <row r="578" spans="1:10" x14ac:dyDescent="0.2">
      <c r="A578" s="1" t="str">
        <f>"HARMONIC OSSILLATORS AND WAVE MOTIOMS, HB    "</f>
        <v xml:space="preserve">HARMONIC OSSILLATORS AND WAVE MOTIOMS, HB    </v>
      </c>
      <c r="B578" s="1" t="str">
        <f>"9788178849591"</f>
        <v>9788178849591</v>
      </c>
      <c r="C578" s="1">
        <v>17.5</v>
      </c>
      <c r="D578" s="1" t="str">
        <f t="shared" ref="D578:D583" si="20">"USD"</f>
        <v>USD</v>
      </c>
      <c r="E578" s="1" t="str">
        <f>"2012"</f>
        <v>2012</v>
      </c>
      <c r="F578" s="1" t="str">
        <f>"Dogra"</f>
        <v>Dogra</v>
      </c>
      <c r="G578" s="1" t="str">
        <f>"supply"</f>
        <v>supply</v>
      </c>
      <c r="J578" s="1"/>
    </row>
    <row r="579" spans="1:10" x14ac:dyDescent="0.2">
      <c r="A579" s="1" t="str">
        <f>"HDBK of Metrology"</f>
        <v>HDBK of Metrology</v>
      </c>
      <c r="B579" s="1" t="str">
        <f>"9783527406661"</f>
        <v>9783527406661</v>
      </c>
      <c r="C579" s="1">
        <v>178.4</v>
      </c>
      <c r="D579" s="1" t="str">
        <f t="shared" si="20"/>
        <v>USD</v>
      </c>
      <c r="E579" s="1" t="str">
        <f>"2010"</f>
        <v>2010</v>
      </c>
      <c r="F579" s="1" t="str">
        <f>"Kochsiek"</f>
        <v>Kochsiek</v>
      </c>
      <c r="G579" s="1" t="str">
        <f>"safirketab"</f>
        <v>safirketab</v>
      </c>
      <c r="J579" s="1"/>
    </row>
    <row r="580" spans="1:10" x14ac:dyDescent="0.2">
      <c r="A580" s="1" t="str">
        <f>"HDBK of Optical Systems,V4, Survey of Optical Instruments"</f>
        <v>HDBK of Optical Systems,V4, Survey of Optical Instruments</v>
      </c>
      <c r="B580" s="1" t="str">
        <f>"9783527403806"</f>
        <v>9783527403806</v>
      </c>
      <c r="C580" s="1">
        <v>258</v>
      </c>
      <c r="D580" s="1" t="str">
        <f t="shared" si="20"/>
        <v>USD</v>
      </c>
      <c r="E580" s="1" t="str">
        <f>"2008"</f>
        <v>2008</v>
      </c>
      <c r="F580" s="1" t="str">
        <f>"Gross"</f>
        <v>Gross</v>
      </c>
      <c r="G580" s="1" t="str">
        <f>"safirketab"</f>
        <v>safirketab</v>
      </c>
      <c r="J580" s="1"/>
    </row>
    <row r="581" spans="1:10" x14ac:dyDescent="0.2">
      <c r="A581" s="1" t="str">
        <f>"HDBK of Time Series Analysis: Recent Theoretical Developments and Applications"</f>
        <v>HDBK of Time Series Analysis: Recent Theoretical Developments and Applications</v>
      </c>
      <c r="B581" s="1" t="str">
        <f>"9783527406234"</f>
        <v>9783527406234</v>
      </c>
      <c r="C581" s="1">
        <v>144</v>
      </c>
      <c r="D581" s="1" t="str">
        <f t="shared" si="20"/>
        <v>USD</v>
      </c>
      <c r="E581" s="1" t="str">
        <f>"2006"</f>
        <v>2006</v>
      </c>
      <c r="F581" s="1" t="str">
        <f>"Schelter-Physics"</f>
        <v>Schelter-Physics</v>
      </c>
      <c r="G581" s="1" t="str">
        <f>"safirketab"</f>
        <v>safirketab</v>
      </c>
      <c r="J581" s="1"/>
    </row>
    <row r="582" spans="1:10" x14ac:dyDescent="0.2">
      <c r="A582" s="1" t="str">
        <f>"Heat And Thermodynamics : A Historical Perspective, HB"</f>
        <v>Heat And Thermodynamics : A Historical Perspective, HB</v>
      </c>
      <c r="B582" s="1" t="str">
        <f>"9780313333323"</f>
        <v>9780313333323</v>
      </c>
      <c r="C582" s="1">
        <v>24.85</v>
      </c>
      <c r="D582" s="1" t="str">
        <f t="shared" si="20"/>
        <v>USD</v>
      </c>
      <c r="E582" s="1" t="str">
        <f>"2009"</f>
        <v>2009</v>
      </c>
      <c r="F582" s="1" t="str">
        <f>"Lewis"</f>
        <v>Lewis</v>
      </c>
      <c r="G582" s="1" t="str">
        <f>"supply"</f>
        <v>supply</v>
      </c>
      <c r="J582" s="1"/>
    </row>
    <row r="583" spans="1:10" x14ac:dyDescent="0.2">
      <c r="A583" s="1" t="str">
        <f>"HEAT AND THERMODYNAMICS, HB"</f>
        <v>HEAT AND THERMODYNAMICS, HB</v>
      </c>
      <c r="B583" s="1" t="str">
        <f>"9789380179087"</f>
        <v>9789380179087</v>
      </c>
      <c r="C583" s="1">
        <v>30.24</v>
      </c>
      <c r="D583" s="1" t="str">
        <f t="shared" si="20"/>
        <v>USD</v>
      </c>
      <c r="E583" s="1" t="str">
        <f>"2009"</f>
        <v>2009</v>
      </c>
      <c r="F583" s="1" t="str">
        <f>"Brewster"</f>
        <v>Brewster</v>
      </c>
      <c r="G583" s="1" t="str">
        <f>"supply"</f>
        <v>supply</v>
      </c>
      <c r="J583" s="1"/>
    </row>
    <row r="584" spans="1:10" x14ac:dyDescent="0.2">
      <c r="A584" s="1" t="str">
        <f>"Heat Pump Planning Handbook"</f>
        <v>Heat Pump Planning Handbook</v>
      </c>
      <c r="B584" s="1" t="str">
        <f>"9781138784826"</f>
        <v>9781138784826</v>
      </c>
      <c r="C584" s="1">
        <v>53.55</v>
      </c>
      <c r="D584" s="1" t="str">
        <f>"GBP"</f>
        <v>GBP</v>
      </c>
      <c r="E584" s="1" t="str">
        <f>"2015"</f>
        <v>2015</v>
      </c>
      <c r="F584" s="1" t="str">
        <f>"JÃ¼rgen Bonin"</f>
        <v>JÃ¼rgen Bonin</v>
      </c>
      <c r="G584" s="1" t="str">
        <f>"AsarBartar"</f>
        <v>AsarBartar</v>
      </c>
      <c r="J584" s="1"/>
    </row>
    <row r="585" spans="1:10" x14ac:dyDescent="0.2">
      <c r="A585" s="1" t="str">
        <f>"Heat Pumps in Chemical Process Industry"</f>
        <v>Heat Pumps in Chemical Process Industry</v>
      </c>
      <c r="B585" s="1" t="str">
        <f>"9781498718950"</f>
        <v>9781498718950</v>
      </c>
      <c r="C585" s="1">
        <v>98.29</v>
      </c>
      <c r="D585" s="1" t="str">
        <f>"GBP"</f>
        <v>GBP</v>
      </c>
      <c r="E585" s="1" t="str">
        <f>"2016"</f>
        <v>2016</v>
      </c>
      <c r="F585" s="1" t="str">
        <f>"KISS"</f>
        <v>KISS</v>
      </c>
      <c r="G585" s="1" t="str">
        <f>"sal"</f>
        <v>sal</v>
      </c>
      <c r="J585" s="1"/>
    </row>
    <row r="586" spans="1:10" x14ac:dyDescent="0.2">
      <c r="A586" s="1" t="str">
        <f>"Heat Transfer of Laminar Mixed Convection of Liquid "</f>
        <v xml:space="preserve">Heat Transfer of Laminar Mixed Convection of Liquid </v>
      </c>
      <c r="B586" s="1" t="str">
        <f>"9783319279589"</f>
        <v>9783319279589</v>
      </c>
      <c r="C586" s="1">
        <v>107.99</v>
      </c>
      <c r="D586" s="1" t="str">
        <f>"EUR"</f>
        <v>EUR</v>
      </c>
      <c r="E586" s="1" t="str">
        <f>"2016"</f>
        <v>2016</v>
      </c>
      <c r="F586" s="1" t="str">
        <f>"Shang"</f>
        <v>Shang</v>
      </c>
      <c r="G586" s="1" t="str">
        <f>"negarestanabi"</f>
        <v>negarestanabi</v>
      </c>
      <c r="J586" s="1"/>
    </row>
    <row r="587" spans="1:10" x14ac:dyDescent="0.2">
      <c r="A587" s="1" t="str">
        <f>"HEAT, POWER AND LIGHT: REVOLUTIONS IN ENERGY SERVICES"</f>
        <v>HEAT, POWER AND LIGHT: REVOLUTIONS IN ENERGY SERVICES</v>
      </c>
      <c r="B587" s="1" t="str">
        <f>"9781849800075"</f>
        <v>9781849800075</v>
      </c>
      <c r="C587" s="1">
        <v>9</v>
      </c>
      <c r="D587" s="1" t="str">
        <f>"GBP"</f>
        <v>GBP</v>
      </c>
      <c r="E587" s="1" t="str">
        <f>"2008"</f>
        <v>2008</v>
      </c>
      <c r="F587" s="1" t="str">
        <f>"ROGER FOUQUET"</f>
        <v>ROGER FOUQUET</v>
      </c>
      <c r="G587" s="1" t="str">
        <f>"AsarBartar"</f>
        <v>AsarBartar</v>
      </c>
      <c r="J587" s="1"/>
    </row>
    <row r="588" spans="1:10" x14ac:dyDescent="0.2">
      <c r="A588" s="1" t="str">
        <f>"Heavy Oil Exploitation"</f>
        <v>Heavy Oil Exploitation</v>
      </c>
      <c r="B588" s="1" t="str">
        <f>"9781593703882"</f>
        <v>9781593703882</v>
      </c>
      <c r="C588" s="1">
        <v>66.75</v>
      </c>
      <c r="D588" s="1" t="str">
        <f>"GBP"</f>
        <v>GBP</v>
      </c>
      <c r="E588" s="1" t="str">
        <f>"2018"</f>
        <v>2018</v>
      </c>
      <c r="F588" s="1" t="str">
        <f>"Abul JamaluddinÂ "</f>
        <v>Abul JamaluddinÂ </v>
      </c>
      <c r="G588" s="1" t="str">
        <f>"kowkab"</f>
        <v>kowkab</v>
      </c>
      <c r="J588" s="1"/>
    </row>
    <row r="589" spans="1:10" x14ac:dyDescent="0.2">
      <c r="A589" s="1" t="str">
        <f>"High Energy Astrophysical Techniques"</f>
        <v>High Energy Astrophysical Techniques</v>
      </c>
      <c r="B589" s="1" t="str">
        <f>"9783319447285"</f>
        <v>9783319447285</v>
      </c>
      <c r="C589" s="1">
        <v>67.489999999999995</v>
      </c>
      <c r="D589" s="1" t="str">
        <f>"EUR"</f>
        <v>EUR</v>
      </c>
      <c r="E589" s="1" t="str">
        <f>"2017"</f>
        <v>2017</v>
      </c>
      <c r="F589" s="1" t="str">
        <f>"Poggiani"</f>
        <v>Poggiani</v>
      </c>
      <c r="G589" s="1" t="str">
        <f>"negarestanabi"</f>
        <v>negarestanabi</v>
      </c>
      <c r="J589" s="1"/>
    </row>
    <row r="590" spans="1:10" x14ac:dyDescent="0.2">
      <c r="A590" s="1" t="str">
        <f>"High Energy Physics"</f>
        <v>High Energy Physics</v>
      </c>
      <c r="B590" s="1" t="str">
        <f>"9789812567314"</f>
        <v>9789812567314</v>
      </c>
      <c r="C590" s="1">
        <v>37.5</v>
      </c>
      <c r="D590" s="1" t="str">
        <f>"GBP"</f>
        <v>GBP</v>
      </c>
      <c r="E590" s="1" t="str">
        <f>"2006"</f>
        <v>2006</v>
      </c>
      <c r="F590" s="1" t="str">
        <f>"Salinas C J Sol"</f>
        <v>Salinas C J Sol</v>
      </c>
      <c r="G590" s="1" t="str">
        <f>"kowkab"</f>
        <v>kowkab</v>
      </c>
      <c r="J590" s="1"/>
    </row>
    <row r="591" spans="1:10" x14ac:dyDescent="0.2">
      <c r="A591" s="1" t="str">
        <f>"High Field Plasmonics"</f>
        <v>High Field Plasmonics</v>
      </c>
      <c r="B591" s="1" t="str">
        <f>"9783319442891"</f>
        <v>9783319442891</v>
      </c>
      <c r="C591" s="1">
        <v>89.99</v>
      </c>
      <c r="D591" s="1" t="str">
        <f>"EUR"</f>
        <v>EUR</v>
      </c>
      <c r="E591" s="1" t="str">
        <f>"2017"</f>
        <v>2017</v>
      </c>
      <c r="F591" s="1" t="str">
        <f>"Fedeli"</f>
        <v>Fedeli</v>
      </c>
      <c r="G591" s="1" t="str">
        <f>"negarestanabi"</f>
        <v>negarestanabi</v>
      </c>
      <c r="J591" s="1"/>
    </row>
    <row r="592" spans="1:10" x14ac:dyDescent="0.2">
      <c r="A592" s="1" t="str">
        <f>"High Resolution Electronic Spectroscopy of Small Molecules"</f>
        <v>High Resolution Electronic Spectroscopy of Small Molecules</v>
      </c>
      <c r="B592" s="1" t="str">
        <f>"9781482245592"</f>
        <v>9781482245592</v>
      </c>
      <c r="C592" s="1">
        <v>52.19</v>
      </c>
      <c r="D592" s="1" t="str">
        <f>"GBP"</f>
        <v>GBP</v>
      </c>
      <c r="E592" s="1" t="str">
        <f>"2017"</f>
        <v>2017</v>
      </c>
      <c r="F592" s="1" t="str">
        <f>"DUXBURY"</f>
        <v>DUXBURY</v>
      </c>
      <c r="G592" s="1" t="str">
        <f>"sal"</f>
        <v>sal</v>
      </c>
      <c r="J592" s="1"/>
    </row>
    <row r="593" spans="1:10" x14ac:dyDescent="0.2">
      <c r="A593" s="1" t="str">
        <f>"HIGH RESOLUTION OPTICAL SATELLITE IMAGERY, HB"</f>
        <v>HIGH RESOLUTION OPTICAL SATELLITE IMAGERY, HB</v>
      </c>
      <c r="B593" s="1" t="str">
        <f>"9781849950466"</f>
        <v>9781849950466</v>
      </c>
      <c r="C593" s="1">
        <v>56</v>
      </c>
      <c r="D593" s="1" t="str">
        <f>"GBP"</f>
        <v>GBP</v>
      </c>
      <c r="E593" s="1" t="str">
        <f>"2012"</f>
        <v>2012</v>
      </c>
      <c r="F593" s="1" t="str">
        <f>"Ian Dowman"</f>
        <v>Ian Dowman</v>
      </c>
      <c r="G593" s="1" t="str">
        <f>"supply"</f>
        <v>supply</v>
      </c>
      <c r="J593" s="1"/>
    </row>
    <row r="594" spans="1:10" x14ac:dyDescent="0.2">
      <c r="A594" s="1" t="str">
        <f>"High Temperature Superconducting Magnetic Levitation"</f>
        <v>High Temperature Superconducting Magnetic Levitation</v>
      </c>
      <c r="B594" s="1" t="str">
        <f>"9783110538182"</f>
        <v>9783110538182</v>
      </c>
      <c r="C594" s="1">
        <v>89.95</v>
      </c>
      <c r="D594" s="1" t="str">
        <f>"EUR"</f>
        <v>EUR</v>
      </c>
      <c r="E594" s="1" t="str">
        <f>"2017"</f>
        <v>2017</v>
      </c>
      <c r="F594" s="1" t="str">
        <f>"Wang, Jia-Su / Wang"</f>
        <v>Wang, Jia-Su / Wang</v>
      </c>
      <c r="G594" s="1" t="str">
        <f>"AsarBartar"</f>
        <v>AsarBartar</v>
      </c>
      <c r="J594" s="1"/>
    </row>
    <row r="595" spans="1:10" x14ac:dyDescent="0.2">
      <c r="A595" s="1" t="str">
        <f>"High-Energy Atomic Physics"</f>
        <v>High-Energy Atomic Physics</v>
      </c>
      <c r="B595" s="1" t="str">
        <f>"9783319327341"</f>
        <v>9783319327341</v>
      </c>
      <c r="C595" s="1">
        <v>134.99</v>
      </c>
      <c r="D595" s="1" t="str">
        <f>"EUR"</f>
        <v>EUR</v>
      </c>
      <c r="E595" s="1" t="str">
        <f>"2016"</f>
        <v>2016</v>
      </c>
      <c r="F595" s="1" t="str">
        <f>"Drukarev"</f>
        <v>Drukarev</v>
      </c>
      <c r="G595" s="1" t="str">
        <f>"negarestanabi"</f>
        <v>negarestanabi</v>
      </c>
      <c r="J595" s="1"/>
    </row>
    <row r="596" spans="1:10" x14ac:dyDescent="0.2">
      <c r="A596" s="1" t="str">
        <f>"HIGH-ENERGY NUCLEAR OPTICS OF POLARIZED PARTICLES"</f>
        <v>HIGH-ENERGY NUCLEAR OPTICS OF POLARIZED PARTICLES</v>
      </c>
      <c r="B596" s="1" t="str">
        <f>"9789814324830"</f>
        <v>9789814324830</v>
      </c>
      <c r="C596" s="1">
        <v>84</v>
      </c>
      <c r="D596" s="1" t="str">
        <f>"GBP"</f>
        <v>GBP</v>
      </c>
      <c r="E596" s="1" t="str">
        <f>"2012"</f>
        <v>2012</v>
      </c>
      <c r="F596" s="1" t="str">
        <f>"BARYSHEVSKY VLADIMI"</f>
        <v>BARYSHEVSKY VLADIMI</v>
      </c>
      <c r="G596" s="1" t="str">
        <f>"AsarBartar"</f>
        <v>AsarBartar</v>
      </c>
      <c r="J596" s="1"/>
    </row>
    <row r="597" spans="1:10" x14ac:dyDescent="0.2">
      <c r="A597" s="1" t="str">
        <f>"HIGHER SPIN GAUGE THEORIES"</f>
        <v>HIGHER SPIN GAUGE THEORIES</v>
      </c>
      <c r="B597" s="1" t="str">
        <f>"9789813144095"</f>
        <v>9789813144095</v>
      </c>
      <c r="C597" s="1">
        <v>110.7</v>
      </c>
      <c r="D597" s="1" t="str">
        <f>"GBP"</f>
        <v>GBP</v>
      </c>
      <c r="E597" s="1" t="str">
        <f>"2017"</f>
        <v>2017</v>
      </c>
      <c r="F597" s="1" t="str">
        <f>"BRINK LARS ET AL"</f>
        <v>BRINK LARS ET AL</v>
      </c>
      <c r="G597" s="1" t="str">
        <f>"AsarBartar"</f>
        <v>AsarBartar</v>
      </c>
      <c r="J597" s="1"/>
    </row>
    <row r="598" spans="1:10" x14ac:dyDescent="0.2">
      <c r="A598" s="1" t="str">
        <f>"High-Frequency Seafloor Acoustics"</f>
        <v>High-Frequency Seafloor Acoustics</v>
      </c>
      <c r="B598" s="1" t="str">
        <f>"9780387341545"</f>
        <v>9780387341545</v>
      </c>
      <c r="C598" s="1">
        <v>88</v>
      </c>
      <c r="D598" s="1" t="str">
        <f>"USD"</f>
        <v>USD</v>
      </c>
      <c r="E598" s="1" t="str">
        <f>"2006"</f>
        <v>2006</v>
      </c>
      <c r="F598" s="1" t="str">
        <f>"Jackson,D."</f>
        <v>Jackson,D.</v>
      </c>
      <c r="G598" s="1" t="str">
        <f>"safirketab"</f>
        <v>safirketab</v>
      </c>
      <c r="J598" s="1"/>
    </row>
    <row r="599" spans="1:10" x14ac:dyDescent="0.2">
      <c r="A599" s="1" t="str">
        <f>"Highly Sensitive Optical Receivers"</f>
        <v>Highly Sensitive Optical Receivers</v>
      </c>
      <c r="B599" s="1" t="str">
        <f>"9783540296133"</f>
        <v>9783540296133</v>
      </c>
      <c r="C599" s="1">
        <v>76</v>
      </c>
      <c r="D599" s="1" t="str">
        <f>"USD"</f>
        <v>USD</v>
      </c>
      <c r="E599" s="1" t="str">
        <f>"2006"</f>
        <v>2006</v>
      </c>
      <c r="F599" s="1" t="str">
        <f>"Schneider,K."</f>
        <v>Schneider,K.</v>
      </c>
      <c r="G599" s="1" t="str">
        <f>"safirketab"</f>
        <v>safirketab</v>
      </c>
      <c r="J599" s="1"/>
    </row>
    <row r="600" spans="1:10" x14ac:dyDescent="0.2">
      <c r="A600" s="1" t="str">
        <f>"HISTORY OF ENERGY, A"</f>
        <v>HISTORY OF ENERGY, A</v>
      </c>
      <c r="B600" s="1" t="str">
        <f>"9781849713856"</f>
        <v>9781849713856</v>
      </c>
      <c r="C600" s="1">
        <v>10.5</v>
      </c>
      <c r="D600" s="1" t="str">
        <f>"GBP"</f>
        <v>GBP</v>
      </c>
      <c r="E600" s="1" t="str">
        <f>"2011"</f>
        <v>2011</v>
      </c>
      <c r="F600" s="1" t="str">
        <f>"S?RENSEN,"</f>
        <v>S?RENSEN,</v>
      </c>
      <c r="G600" s="1" t="str">
        <f>"AsarBartar"</f>
        <v>AsarBartar</v>
      </c>
      <c r="J600" s="1"/>
    </row>
    <row r="601" spans="1:10" x14ac:dyDescent="0.2">
      <c r="A601" s="1" t="str">
        <f>"History of Nuclear Astrophysics: Find A Hotter Place!"</f>
        <v>History of Nuclear Astrophysics: Find A Hotter Place!</v>
      </c>
      <c r="B601" s="1" t="str">
        <f>"9789812567307"</f>
        <v>9789812567307</v>
      </c>
      <c r="C601" s="1">
        <v>41.5</v>
      </c>
      <c r="D601" s="1" t="str">
        <f>"USD"</f>
        <v>USD</v>
      </c>
      <c r="E601" s="1" t="str">
        <f>"2006"</f>
        <v>2006</v>
      </c>
      <c r="F601" s="1" t="str">
        <f>"Celnikier Ludwi"</f>
        <v>Celnikier Ludwi</v>
      </c>
      <c r="G601" s="1" t="str">
        <f>"kowkab"</f>
        <v>kowkab</v>
      </c>
      <c r="J601" s="1"/>
    </row>
    <row r="602" spans="1:10" x14ac:dyDescent="0.2">
      <c r="A602" s="1" t="str">
        <f>"Hologram: Principles and Techniques"</f>
        <v>Hologram: Principles and Techniques</v>
      </c>
      <c r="B602" s="1" t="str">
        <f>"9781119088905"</f>
        <v>9781119088905</v>
      </c>
      <c r="C602" s="1">
        <v>112.5</v>
      </c>
      <c r="D602" s="1" t="str">
        <f>"USD"</f>
        <v>USD</v>
      </c>
      <c r="E602" s="1" t="str">
        <f>"2017"</f>
        <v>2017</v>
      </c>
      <c r="F602" s="1" t="str">
        <f>"Richardson"</f>
        <v>Richardson</v>
      </c>
      <c r="G602" s="1" t="str">
        <f>"avanddanesh"</f>
        <v>avanddanesh</v>
      </c>
      <c r="J602" s="1"/>
    </row>
    <row r="603" spans="1:10" x14ac:dyDescent="0.2">
      <c r="A603" s="1" t="str">
        <f>"Holographic Entanglement Entropy"</f>
        <v>Holographic Entanglement Entropy</v>
      </c>
      <c r="B603" s="1" t="str">
        <f>"9783319525716"</f>
        <v>9783319525716</v>
      </c>
      <c r="C603" s="1">
        <v>40.49</v>
      </c>
      <c r="D603" s="1" t="str">
        <f>"EUR"</f>
        <v>EUR</v>
      </c>
      <c r="E603" s="1" t="str">
        <f>"2017"</f>
        <v>2017</v>
      </c>
      <c r="F603" s="1" t="str">
        <f>"Rangamani"</f>
        <v>Rangamani</v>
      </c>
      <c r="G603" s="1" t="str">
        <f>"negarestanabi"</f>
        <v>negarestanabi</v>
      </c>
      <c r="J603" s="1"/>
    </row>
    <row r="604" spans="1:10" x14ac:dyDescent="0.2">
      <c r="A604" s="1" t="str">
        <f>"Horizons in World Physics: Volume 286"</f>
        <v>Horizons in World Physics: Volume 286</v>
      </c>
      <c r="B604" s="1" t="str">
        <f>"9781634833868"</f>
        <v>9781634833868</v>
      </c>
      <c r="C604" s="1">
        <v>134.72</v>
      </c>
      <c r="D604" s="1" t="str">
        <f>"GBP"</f>
        <v>GBP</v>
      </c>
      <c r="E604" s="1" t="str">
        <f>"2015"</f>
        <v>2015</v>
      </c>
      <c r="F604" s="1" t="str">
        <f>"Albert Reimer(Edito"</f>
        <v>Albert Reimer(Edito</v>
      </c>
      <c r="G604" s="1" t="str">
        <f>"AsarBartar"</f>
        <v>AsarBartar</v>
      </c>
      <c r="J604" s="1"/>
    </row>
    <row r="605" spans="1:10" x14ac:dyDescent="0.2">
      <c r="A605" s="1" t="str">
        <f>"How Can Physics Underlie the Mind?: Top-Down Causation in the Human Context"</f>
        <v>How Can Physics Underlie the Mind?: Top-Down Causation in the Human Context</v>
      </c>
      <c r="B605" s="1" t="str">
        <f>"9783662498071"</f>
        <v>9783662498071</v>
      </c>
      <c r="C605" s="1">
        <v>62.99</v>
      </c>
      <c r="D605" s="1" t="str">
        <f>"EUR"</f>
        <v>EUR</v>
      </c>
      <c r="E605" s="1" t="str">
        <f>"2016"</f>
        <v>2016</v>
      </c>
      <c r="F605" s="1" t="str">
        <f>"Ellis"</f>
        <v>Ellis</v>
      </c>
      <c r="G605" s="1" t="str">
        <f>"negarestanabi"</f>
        <v>negarestanabi</v>
      </c>
      <c r="J605" s="1"/>
    </row>
    <row r="606" spans="1:10" x14ac:dyDescent="0.2">
      <c r="A606" s="1" t="str">
        <f>"Hydrogen Bonding and Transfer in the Excited State, 2V Set"</f>
        <v>Hydrogen Bonding and Transfer in the Excited State, 2V Set</v>
      </c>
      <c r="B606" s="1" t="str">
        <f>"9780470666777"</f>
        <v>9780470666777</v>
      </c>
      <c r="C606" s="1">
        <v>166</v>
      </c>
      <c r="D606" s="1" t="str">
        <f>"USD"</f>
        <v>USD</v>
      </c>
      <c r="E606" s="1" t="str">
        <f>"2010"</f>
        <v>2010</v>
      </c>
      <c r="F606" s="1" t="str">
        <f>"Han"</f>
        <v>Han</v>
      </c>
      <c r="G606" s="1" t="str">
        <f>"avanddanesh"</f>
        <v>avanddanesh</v>
      </c>
      <c r="J606" s="1"/>
    </row>
    <row r="607" spans="1:10" x14ac:dyDescent="0.2">
      <c r="A607" s="1" t="str">
        <f>"HYDROGEN ENERGY: ECONOMIC AND SOCIAL CHALLENGES"</f>
        <v>HYDROGEN ENERGY: ECONOMIC AND SOCIAL CHALLENGES</v>
      </c>
      <c r="B607" s="1" t="str">
        <f>"9781844076802"</f>
        <v>9781844076802</v>
      </c>
      <c r="C607" s="1">
        <v>14.99</v>
      </c>
      <c r="D607" s="1" t="str">
        <f>"GBP"</f>
        <v>GBP</v>
      </c>
      <c r="E607" s="1" t="str">
        <f>"2010"</f>
        <v>2010</v>
      </c>
      <c r="F607" s="1" t="str">
        <f>"PAUL EKINS(EDITOR)"</f>
        <v>PAUL EKINS(EDITOR)</v>
      </c>
      <c r="G607" s="1" t="str">
        <f>"AsarBartar"</f>
        <v>AsarBartar</v>
      </c>
      <c r="J607" s="1"/>
    </row>
    <row r="608" spans="1:10" x14ac:dyDescent="0.2">
      <c r="A608" s="1" t="str">
        <f>"Hydromechanics: Theory and Fundamentals"</f>
        <v>Hydromechanics: Theory and Fundamentals</v>
      </c>
      <c r="B608" s="1" t="str">
        <f>"9783527410262"</f>
        <v>9783527410262</v>
      </c>
      <c r="C608" s="1">
        <v>87.6</v>
      </c>
      <c r="D608" s="1" t="str">
        <f>"USD"</f>
        <v>USD</v>
      </c>
      <c r="E608" s="1" t="str">
        <f>"2011"</f>
        <v>2011</v>
      </c>
      <c r="F608" s="1" t="str">
        <f>"Sinaiski"</f>
        <v>Sinaiski</v>
      </c>
      <c r="G608" s="1" t="str">
        <f>"avanddanesh"</f>
        <v>avanddanesh</v>
      </c>
      <c r="J608" s="1"/>
    </row>
    <row r="609" spans="1:10" x14ac:dyDescent="0.2">
      <c r="A609" s="1" t="str">
        <f>"Identification of Dark Matter"</f>
        <v>Identification of Dark Matter</v>
      </c>
      <c r="B609" s="1" t="str">
        <f>"9789812708526"</f>
        <v>9789812708526</v>
      </c>
      <c r="C609" s="1">
        <v>49</v>
      </c>
      <c r="D609" s="1" t="str">
        <f>"GBP"</f>
        <v>GBP</v>
      </c>
      <c r="E609" s="1" t="str">
        <f>"2007"</f>
        <v>2007</v>
      </c>
      <c r="F609" s="1" t="str">
        <f>"Axenides Minos"</f>
        <v>Axenides Minos</v>
      </c>
      <c r="G609" s="1" t="str">
        <f>"kowkab"</f>
        <v>kowkab</v>
      </c>
      <c r="J609" s="1"/>
    </row>
    <row r="610" spans="1:10" x14ac:dyDescent="0.2">
      <c r="A610" s="1" t="str">
        <f>"III-Nitride Based Light Emitting Diodes and Applications. 2/ed"</f>
        <v>III-Nitride Based Light Emitting Diodes and Applications. 2/ed</v>
      </c>
      <c r="B610" s="1" t="str">
        <f>"9789811037542"</f>
        <v>9789811037542</v>
      </c>
      <c r="C610" s="1">
        <v>152.99</v>
      </c>
      <c r="D610" s="1" t="str">
        <f>"EUR"</f>
        <v>EUR</v>
      </c>
      <c r="E610" s="1" t="str">
        <f>"2017"</f>
        <v>2017</v>
      </c>
      <c r="F610" s="1" t="str">
        <f>"Seong"</f>
        <v>Seong</v>
      </c>
      <c r="G610" s="1" t="str">
        <f>"negarestanabi"</f>
        <v>negarestanabi</v>
      </c>
      <c r="J610" s="1"/>
    </row>
    <row r="611" spans="1:10" x14ac:dyDescent="0.2">
      <c r="A611" s="1" t="str">
        <f>"Illumination Engineering: Design with Nonimaging Optics"</f>
        <v>Illumination Engineering: Design with Nonimaging Optics</v>
      </c>
      <c r="B611" s="1" t="str">
        <f>"9780470911402"</f>
        <v>9780470911402</v>
      </c>
      <c r="C611" s="1">
        <v>89</v>
      </c>
      <c r="D611" s="1" t="str">
        <f>"USD"</f>
        <v>USD</v>
      </c>
      <c r="E611" s="1" t="str">
        <f>"2013"</f>
        <v>2013</v>
      </c>
      <c r="F611" s="1" t="str">
        <f>"Koshel"</f>
        <v>Koshel</v>
      </c>
      <c r="G611" s="1" t="str">
        <f>"avanddanesh"</f>
        <v>avanddanesh</v>
      </c>
      <c r="J611" s="1"/>
    </row>
    <row r="612" spans="1:10" x14ac:dyDescent="0.2">
      <c r="A612" s="1" t="str">
        <f>"Imaging gaseous detectors and their applications"</f>
        <v>Imaging gaseous detectors and their applications</v>
      </c>
      <c r="B612" s="1" t="str">
        <f>"9783527408986"</f>
        <v>9783527408986</v>
      </c>
      <c r="C612" s="1">
        <v>128.1</v>
      </c>
      <c r="D612" s="1" t="str">
        <f>"USD"</f>
        <v>USD</v>
      </c>
      <c r="E612" s="1" t="str">
        <f>"2013"</f>
        <v>2013</v>
      </c>
      <c r="F612" s="1" t="str">
        <f>"Nappi"</f>
        <v>Nappi</v>
      </c>
      <c r="G612" s="1" t="str">
        <f>"avanddanesh"</f>
        <v>avanddanesh</v>
      </c>
      <c r="J612" s="1"/>
    </row>
    <row r="613" spans="1:10" x14ac:dyDescent="0.2">
      <c r="A613" s="1" t="str">
        <f>"Immittance Spectroscopy: Applications to Material Systems"</f>
        <v>Immittance Spectroscopy: Applications to Material Systems</v>
      </c>
      <c r="B613" s="1" t="str">
        <f>"9781119184850"</f>
        <v>9781119184850</v>
      </c>
      <c r="C613" s="1">
        <v>202.5</v>
      </c>
      <c r="D613" s="1" t="str">
        <f>"USD"</f>
        <v>USD</v>
      </c>
      <c r="E613" s="1" t="str">
        <f>"2018"</f>
        <v>2018</v>
      </c>
      <c r="F613" s="1" t="str">
        <f>"Alim"</f>
        <v>Alim</v>
      </c>
      <c r="G613" s="1" t="str">
        <f>"avanddanesh"</f>
        <v>avanddanesh</v>
      </c>
      <c r="J613" s="1"/>
    </row>
    <row r="614" spans="1:10" x14ac:dyDescent="0.2">
      <c r="A614" s="1" t="str">
        <f>"In The Grip of The Distant Universe: The Science of Inertia"</f>
        <v>In The Grip of The Distant Universe: The Science of Inertia</v>
      </c>
      <c r="B614" s="1" t="str">
        <f>"9789812567543"</f>
        <v>9789812567543</v>
      </c>
      <c r="C614" s="1">
        <v>20</v>
      </c>
      <c r="D614" s="1" t="str">
        <f>"GBP"</f>
        <v>GBP</v>
      </c>
      <c r="E614" s="1" t="str">
        <f>"2006"</f>
        <v>2006</v>
      </c>
      <c r="F614" s="1" t="str">
        <f>"Graneau Peter E"</f>
        <v>Graneau Peter E</v>
      </c>
      <c r="G614" s="1" t="str">
        <f>"kowkab"</f>
        <v>kowkab</v>
      </c>
      <c r="J614" s="1"/>
    </row>
    <row r="615" spans="1:10" x14ac:dyDescent="0.2">
      <c r="A615" s="1" t="str">
        <f>"INDUSTRIAL ACCELERATORS AND THEIR APPLICATIONS"</f>
        <v>INDUSTRIAL ACCELERATORS AND THEIR APPLICATIONS</v>
      </c>
      <c r="B615" s="1" t="str">
        <f>"9789814307048"</f>
        <v>9789814307048</v>
      </c>
      <c r="C615" s="1">
        <v>73.8</v>
      </c>
      <c r="D615" s="1" t="str">
        <f>"GBP"</f>
        <v>GBP</v>
      </c>
      <c r="E615" s="1" t="str">
        <f>"2012"</f>
        <v>2012</v>
      </c>
      <c r="F615" s="1" t="str">
        <f>"HAMM ROBERT W ET AL"</f>
        <v>HAMM ROBERT W ET AL</v>
      </c>
      <c r="G615" s="1" t="str">
        <f>"AsarBartar"</f>
        <v>AsarBartar</v>
      </c>
      <c r="J615" s="1"/>
    </row>
    <row r="616" spans="1:10" x14ac:dyDescent="0.2">
      <c r="A616" s="1" t="str">
        <f>"Information and Interaction: Eddington. Wheeler. and the Limits of Knowledge"</f>
        <v>Information and Interaction: Eddington. Wheeler. and the Limits of Knowledge</v>
      </c>
      <c r="B616" s="1" t="str">
        <f>"9783319437583"</f>
        <v>9783319437583</v>
      </c>
      <c r="C616" s="1">
        <v>51.29</v>
      </c>
      <c r="D616" s="1" t="str">
        <f>"EUR"</f>
        <v>EUR</v>
      </c>
      <c r="E616" s="1" t="str">
        <f>"2017"</f>
        <v>2017</v>
      </c>
      <c r="F616" s="1" t="str">
        <f>"Durham"</f>
        <v>Durham</v>
      </c>
      <c r="G616" s="1" t="str">
        <f>"negarestanabi"</f>
        <v>negarestanabi</v>
      </c>
      <c r="J616" s="1"/>
    </row>
    <row r="617" spans="1:10" x14ac:dyDescent="0.2">
      <c r="A617" s="1" t="str">
        <f>"Information Thermodynamics on Causal Networks and its Application to Biochemical Signal Transduction"</f>
        <v>Information Thermodynamics on Causal Networks and its Application to Biochemical Signal Transduction</v>
      </c>
      <c r="B617" s="1" t="str">
        <f>"9789811016622"</f>
        <v>9789811016622</v>
      </c>
      <c r="C617" s="1">
        <v>89.99</v>
      </c>
      <c r="D617" s="1" t="str">
        <f>"EUR"</f>
        <v>EUR</v>
      </c>
      <c r="E617" s="1" t="str">
        <f>"2016"</f>
        <v>2016</v>
      </c>
      <c r="F617" s="1" t="str">
        <f>"Ito"</f>
        <v>Ito</v>
      </c>
      <c r="G617" s="1" t="str">
        <f>"negarestanabi"</f>
        <v>negarestanabi</v>
      </c>
      <c r="J617" s="1"/>
    </row>
    <row r="618" spans="1:10" x14ac:dyDescent="0.2">
      <c r="A618" s="1" t="str">
        <f>"Infrared Spectroscopy of Diatomics for Space Observation"</f>
        <v>Infrared Spectroscopy of Diatomics for Space Observation</v>
      </c>
      <c r="B618" s="1" t="str">
        <f>"9781786301161"</f>
        <v>9781786301161</v>
      </c>
      <c r="C618" s="1">
        <v>112.5</v>
      </c>
      <c r="D618" s="1" t="str">
        <f>"USD"</f>
        <v>USD</v>
      </c>
      <c r="E618" s="1" t="str">
        <f>"2017"</f>
        <v>2017</v>
      </c>
      <c r="F618" s="1" t="str">
        <f>"Dahoo"</f>
        <v>Dahoo</v>
      </c>
      <c r="G618" s="1" t="str">
        <f>"avanddanesh"</f>
        <v>avanddanesh</v>
      </c>
      <c r="J618" s="1"/>
    </row>
    <row r="619" spans="1:10" x14ac:dyDescent="0.2">
      <c r="A619" s="1" t="str">
        <f>"Infrared Thermal Imaging: Fundamentals, Research and Applications"</f>
        <v>Infrared Thermal Imaging: Fundamentals, Research and Applications</v>
      </c>
      <c r="B619" s="1" t="str">
        <f>"9783527407170"</f>
        <v>9783527407170</v>
      </c>
      <c r="C619" s="1">
        <v>144.9</v>
      </c>
      <c r="D619" s="1" t="str">
        <f>"USD"</f>
        <v>USD</v>
      </c>
      <c r="E619" s="1" t="str">
        <f>"2010"</f>
        <v>2010</v>
      </c>
      <c r="F619" s="1" t="str">
        <f>"Vollmer"</f>
        <v>Vollmer</v>
      </c>
      <c r="G619" s="1" t="str">
        <f>"safirketab"</f>
        <v>safirketab</v>
      </c>
      <c r="J619" s="1"/>
    </row>
    <row r="620" spans="1:10" x14ac:dyDescent="0.2">
      <c r="A620" s="1" t="str">
        <f>"Infrared Thermal Imaging: Fundamentals, Research and Applications,2e"</f>
        <v>Infrared Thermal Imaging: Fundamentals, Research and Applications,2e</v>
      </c>
      <c r="B620" s="1" t="str">
        <f>"9783527413515"</f>
        <v>9783527413515</v>
      </c>
      <c r="C620" s="1">
        <v>243</v>
      </c>
      <c r="D620" s="1" t="str">
        <f>"USD"</f>
        <v>USD</v>
      </c>
      <c r="E620" s="1" t="str">
        <f>"2017"</f>
        <v>2017</v>
      </c>
      <c r="F620" s="1" t="str">
        <f>"Vollmer"</f>
        <v>Vollmer</v>
      </c>
      <c r="G620" s="1" t="str">
        <f>"avanddanesh"</f>
        <v>avanddanesh</v>
      </c>
      <c r="J620" s="1"/>
    </row>
    <row r="621" spans="1:10" x14ac:dyDescent="0.2">
      <c r="A621" s="1" t="str">
        <f>"Innovative Detectors For Supercolliders"</f>
        <v>Innovative Detectors For Supercolliders</v>
      </c>
      <c r="B621" s="1" t="str">
        <f>"9789812387455"</f>
        <v>9789812387455</v>
      </c>
      <c r="C621" s="1">
        <v>68.5</v>
      </c>
      <c r="D621" s="1" t="str">
        <f>"GBP"</f>
        <v>GBP</v>
      </c>
      <c r="E621" s="1" t="str">
        <f>"2004"</f>
        <v>2004</v>
      </c>
      <c r="F621" s="1" t="str">
        <f>"Nappi"</f>
        <v>Nappi</v>
      </c>
      <c r="G621" s="1" t="str">
        <f>"kowkab"</f>
        <v>kowkab</v>
      </c>
      <c r="J621" s="1"/>
    </row>
    <row r="622" spans="1:10" x14ac:dyDescent="0.2">
      <c r="A622" s="1" t="str">
        <f>"Inorganic Glasses for Photonics: Fundamentals, Engineering, and Applications"</f>
        <v>Inorganic Glasses for Photonics: Fundamentals, Engineering, and Applications</v>
      </c>
      <c r="B622" s="1" t="str">
        <f>"9780470741702"</f>
        <v>9780470741702</v>
      </c>
      <c r="C622" s="1">
        <v>106.3</v>
      </c>
      <c r="D622" s="1" t="str">
        <f>"USD"</f>
        <v>USD</v>
      </c>
      <c r="E622" s="1" t="str">
        <f>"2016"</f>
        <v>2016</v>
      </c>
      <c r="F622" s="1" t="str">
        <f>"Jha"</f>
        <v>Jha</v>
      </c>
      <c r="G622" s="1" t="str">
        <f>"avanddanesh"</f>
        <v>avanddanesh</v>
      </c>
      <c r="J622" s="1"/>
    </row>
    <row r="623" spans="1:10" x14ac:dyDescent="0.2">
      <c r="A623" s="1" t="str">
        <f>"Inorganic Scintillators for Detector Systems: Physical Principles and Crystal Engineering. 2/ed"</f>
        <v>Inorganic Scintillators for Detector Systems: Physical Principles and Crystal Engineering. 2/ed</v>
      </c>
      <c r="B623" s="1" t="str">
        <f>"9783319455211"</f>
        <v>9783319455211</v>
      </c>
      <c r="C623" s="1">
        <v>98.99</v>
      </c>
      <c r="D623" s="1" t="str">
        <f>"EUR"</f>
        <v>EUR</v>
      </c>
      <c r="E623" s="1" t="str">
        <f>"2017"</f>
        <v>2017</v>
      </c>
      <c r="F623" s="1" t="str">
        <f>"Lecoq"</f>
        <v>Lecoq</v>
      </c>
      <c r="G623" s="1" t="str">
        <f>"negarestanabi"</f>
        <v>negarestanabi</v>
      </c>
      <c r="J623" s="1"/>
    </row>
    <row r="624" spans="1:10" x14ac:dyDescent="0.2">
      <c r="A624" s="1" t="str">
        <f>"Interacting Electrons: Theory and Computational Approaches"</f>
        <v>Interacting Electrons: Theory and Computational Approaches</v>
      </c>
      <c r="B624" s="1" t="str">
        <f>"9780521871501"</f>
        <v>9780521871501</v>
      </c>
      <c r="C624" s="1">
        <v>41.3</v>
      </c>
      <c r="D624" s="1" t="str">
        <f>"GBP"</f>
        <v>GBP</v>
      </c>
      <c r="E624" s="1" t="str">
        <f>"2016"</f>
        <v>2016</v>
      </c>
      <c r="F624" s="1" t="str">
        <f>"Richard M. Martin , "</f>
        <v xml:space="preserve">Richard M. Martin , </v>
      </c>
      <c r="G624" s="1" t="str">
        <f>"arzinbooks"</f>
        <v>arzinbooks</v>
      </c>
      <c r="J624" s="1"/>
    </row>
    <row r="625" spans="1:10" x14ac:dyDescent="0.2">
      <c r="A625" s="1" t="str">
        <f>"Interfacial Wave Theory of Pattern Formation in Solidification: Dendrites. Fingers. Cells and Free Boundaries. 2/ed"</f>
        <v>Interfacial Wave Theory of Pattern Formation in Solidification: Dendrites. Fingers. Cells and Free Boundaries. 2/ed</v>
      </c>
      <c r="B625" s="1" t="str">
        <f>"9783319526621"</f>
        <v>9783319526621</v>
      </c>
      <c r="C625" s="1">
        <v>125.99</v>
      </c>
      <c r="D625" s="1" t="str">
        <f>"EUR"</f>
        <v>EUR</v>
      </c>
      <c r="E625" s="1" t="str">
        <f>"2017"</f>
        <v>2017</v>
      </c>
      <c r="F625" s="1" t="str">
        <f>"Xu"</f>
        <v>Xu</v>
      </c>
      <c r="G625" s="1" t="str">
        <f>"negarestanabi"</f>
        <v>negarestanabi</v>
      </c>
      <c r="J625" s="1"/>
    </row>
    <row r="626" spans="1:10" x14ac:dyDescent="0.2">
      <c r="A626" s="1" t="str">
        <f>"Interferometry and Synthesis in Radio Astronomy. 3/ed"</f>
        <v>Interferometry and Synthesis in Radio Astronomy. 3/ed</v>
      </c>
      <c r="B626" s="1" t="str">
        <f>"9783319444291"</f>
        <v>9783319444291</v>
      </c>
      <c r="C626" s="1">
        <v>44.99</v>
      </c>
      <c r="D626" s="1" t="str">
        <f>"EUR"</f>
        <v>EUR</v>
      </c>
      <c r="E626" s="1" t="str">
        <f>"2017"</f>
        <v>2017</v>
      </c>
      <c r="F626" s="1" t="str">
        <f>"Thompson"</f>
        <v>Thompson</v>
      </c>
      <c r="G626" s="1" t="str">
        <f>"negarestanabi"</f>
        <v>negarestanabi</v>
      </c>
      <c r="J626" s="1"/>
    </row>
    <row r="627" spans="1:10" x14ac:dyDescent="0.2">
      <c r="A627" s="1" t="str">
        <f>"INTERMEDIATE STATISTICAL MECHANICS"</f>
        <v>INTERMEDIATE STATISTICAL MECHANICS</v>
      </c>
      <c r="B627" s="1" t="str">
        <f>"9789813201149"</f>
        <v>9789813201149</v>
      </c>
      <c r="C627" s="1">
        <v>72.900000000000006</v>
      </c>
      <c r="D627" s="1" t="str">
        <f>"GBP"</f>
        <v>GBP</v>
      </c>
      <c r="E627" s="1" t="str">
        <f>"2017"</f>
        <v>2017</v>
      </c>
      <c r="F627" s="1" t="str">
        <f>"BHATTACHARJEE JAYAN"</f>
        <v>BHATTACHARJEE JAYAN</v>
      </c>
      <c r="G627" s="1" t="str">
        <f>"AsarBartar"</f>
        <v>AsarBartar</v>
      </c>
      <c r="J627" s="1"/>
    </row>
    <row r="628" spans="1:10" x14ac:dyDescent="0.2">
      <c r="A628" s="1" t="str">
        <f>"International Handbook of Energy Security (Elgar Original Reference)"</f>
        <v>International Handbook of Energy Security (Elgar Original Reference)</v>
      </c>
      <c r="B628" s="1" t="str">
        <f>"9781781007891"</f>
        <v>9781781007891</v>
      </c>
      <c r="C628" s="1">
        <v>102</v>
      </c>
      <c r="D628" s="1" t="str">
        <f>"GBP"</f>
        <v>GBP</v>
      </c>
      <c r="E628" s="1" t="str">
        <f>"2013"</f>
        <v>2013</v>
      </c>
      <c r="F628" s="1" t="str">
        <f>"EDITEDBYHUGHDYER"</f>
        <v>EDITEDBYHUGHDYER</v>
      </c>
      <c r="G628" s="1" t="str">
        <f>"AsarBartar"</f>
        <v>AsarBartar</v>
      </c>
      <c r="J628" s="1"/>
    </row>
    <row r="629" spans="1:10" x14ac:dyDescent="0.2">
      <c r="A629" s="1" t="str">
        <f>"International Tables for Crystallography, Vol. D, Physical Properties of Crystals"</f>
        <v>International Tables for Crystallography, Vol. D, Physical Properties of Crystals</v>
      </c>
      <c r="B629" s="1" t="str">
        <f>"9780470689097"</f>
        <v>9780470689097</v>
      </c>
      <c r="C629" s="1">
        <v>128</v>
      </c>
      <c r="D629" s="1" t="str">
        <f>"USD"</f>
        <v>USD</v>
      </c>
      <c r="E629" s="1" t="str">
        <f>"2003"</f>
        <v>2003</v>
      </c>
      <c r="F629" s="1" t="str">
        <f>"Authier"</f>
        <v>Authier</v>
      </c>
      <c r="G629" s="1" t="str">
        <f>"avanddanesh"</f>
        <v>avanddanesh</v>
      </c>
      <c r="J629" s="1"/>
    </row>
    <row r="630" spans="1:10" x14ac:dyDescent="0.2">
      <c r="A630" s="1" t="str">
        <f>"International Young Physicists' Tournament: Problems &amp; Solutions 2012-2013"</f>
        <v>International Young Physicists' Tournament: Problems &amp; Solutions 2012-2013</v>
      </c>
      <c r="B630" s="1" t="str">
        <f>"9789814630832"</f>
        <v>9789814630832</v>
      </c>
      <c r="C630" s="1">
        <v>27.2</v>
      </c>
      <c r="D630" s="1" t="str">
        <f>"GBP"</f>
        <v>GBP</v>
      </c>
      <c r="E630" s="1" t="str">
        <f>"2015"</f>
        <v>2015</v>
      </c>
      <c r="F630" s="1" t="str">
        <f>"Wenli Gao(Editor)"</f>
        <v>Wenli Gao(Editor)</v>
      </c>
      <c r="G630" s="1" t="str">
        <f>"AsarBartar"</f>
        <v>AsarBartar</v>
      </c>
      <c r="J630" s="1"/>
    </row>
    <row r="631" spans="1:10" x14ac:dyDescent="0.2">
      <c r="A631" s="1" t="str">
        <f>"INTL COLLEGE PHYSICS GLOBAL EDITION"</f>
        <v>INTL COLLEGE PHYSICS GLOBAL EDITION</v>
      </c>
      <c r="B631" s="1" t="str">
        <f>"9781337620338"</f>
        <v>9781337620338</v>
      </c>
      <c r="C631" s="1">
        <v>56.69</v>
      </c>
      <c r="D631" s="1" t="str">
        <f>"GBP"</f>
        <v>GBP</v>
      </c>
      <c r="E631" s="1" t="str">
        <f>"2018"</f>
        <v>2018</v>
      </c>
      <c r="F631" s="1" t="str">
        <f>"Serway/Vuille"</f>
        <v>Serway/Vuille</v>
      </c>
      <c r="G631" s="1" t="str">
        <f>"AsarBartar"</f>
        <v>AsarBartar</v>
      </c>
      <c r="J631" s="1"/>
    </row>
    <row r="632" spans="1:10" x14ac:dyDescent="0.2">
      <c r="A632" s="1" t="str">
        <f>"Introduction to Astrochemistry: Chemical Evolution from Interstellar Clouds to Star and Planet Formation"</f>
        <v>Introduction to Astrochemistry: Chemical Evolution from Interstellar Clouds to Star and Planet Formation</v>
      </c>
      <c r="B632" s="1" t="str">
        <f>"9784431541707"</f>
        <v>9784431541707</v>
      </c>
      <c r="C632" s="1">
        <v>98.99</v>
      </c>
      <c r="D632" s="1" t="str">
        <f>"EUR"</f>
        <v>EUR</v>
      </c>
      <c r="E632" s="1" t="str">
        <f>"2017"</f>
        <v>2017</v>
      </c>
      <c r="F632" s="1" t="str">
        <f>"Yamamoto"</f>
        <v>Yamamoto</v>
      </c>
      <c r="G632" s="1" t="str">
        <f>"negarestanabi"</f>
        <v>negarestanabi</v>
      </c>
      <c r="J632" s="1"/>
    </row>
    <row r="633" spans="1:10" x14ac:dyDescent="0.2">
      <c r="A633" s="1" t="str">
        <f>"INTRODUCTION TO ASTRONOMY BY THEODORE METOCHITES: STOICHEIOSIS ASTRONOMIKE 1.5-30"</f>
        <v>INTRODUCTION TO ASTRONOMY BY THEODORE METOCHITES: STOICHEIOSIS ASTRONOMIKE 1.5-30</v>
      </c>
      <c r="B633" s="1" t="str">
        <f>"9789813207486"</f>
        <v>9789813207486</v>
      </c>
      <c r="C633" s="1">
        <v>117.9</v>
      </c>
      <c r="D633" s="1" t="str">
        <f>"GBP"</f>
        <v>GBP</v>
      </c>
      <c r="E633" s="1" t="str">
        <f>"2017"</f>
        <v>2017</v>
      </c>
      <c r="F633" s="1" t="str">
        <f>"PASCHOS EMMANUEL ET"</f>
        <v>PASCHOS EMMANUEL ET</v>
      </c>
      <c r="G633" s="1" t="str">
        <f>"AsarBartar"</f>
        <v>AsarBartar</v>
      </c>
      <c r="J633" s="1"/>
    </row>
    <row r="634" spans="1:10" x14ac:dyDescent="0.2">
      <c r="A634" s="1" t="str">
        <f>"Introduction To Astrophysical Fluid Dynamics, An"</f>
        <v>Introduction To Astrophysical Fluid Dynamics, An</v>
      </c>
      <c r="B634" s="1" t="str">
        <f>"9781860946332"</f>
        <v>9781860946332</v>
      </c>
      <c r="C634" s="1">
        <v>12.5</v>
      </c>
      <c r="D634" s="1" t="str">
        <f>"GBP"</f>
        <v>GBP</v>
      </c>
      <c r="E634" s="1" t="str">
        <f>"2006"</f>
        <v>2006</v>
      </c>
      <c r="F634" s="1" t="str">
        <f>"Thompson Michae"</f>
        <v>Thompson Michae</v>
      </c>
      <c r="G634" s="1" t="str">
        <f>"kowkab"</f>
        <v>kowkab</v>
      </c>
      <c r="J634" s="1"/>
    </row>
    <row r="635" spans="1:10" x14ac:dyDescent="0.2">
      <c r="A635" s="1" t="str">
        <f>"Introduction to Bioenergy (Energy and the Environment)"</f>
        <v>Introduction to Bioenergy (Energy and the Environment)</v>
      </c>
      <c r="B635" s="1" t="str">
        <f>"9781498716987"</f>
        <v>9781498716987</v>
      </c>
      <c r="C635" s="1">
        <v>69.7</v>
      </c>
      <c r="D635" s="1" t="str">
        <f>"GBP"</f>
        <v>GBP</v>
      </c>
      <c r="E635" s="1" t="str">
        <f>"2016"</f>
        <v>2016</v>
      </c>
      <c r="F635" s="1" t="str">
        <f>"Vaughn C. Nelson,Ke"</f>
        <v>Vaughn C. Nelson,Ke</v>
      </c>
      <c r="G635" s="1" t="str">
        <f>"AsarBartar"</f>
        <v>AsarBartar</v>
      </c>
      <c r="J635" s="1"/>
    </row>
    <row r="636" spans="1:10" x14ac:dyDescent="0.2">
      <c r="A636" s="1" t="str">
        <f>"Introduction to Cluster Science"</f>
        <v>Introduction to Cluster Science</v>
      </c>
      <c r="B636" s="1" t="str">
        <f>"9783527411184"</f>
        <v>9783527411184</v>
      </c>
      <c r="C636" s="1">
        <v>37</v>
      </c>
      <c r="D636" s="1" t="str">
        <f>"USD"</f>
        <v>USD</v>
      </c>
      <c r="E636" s="1" t="str">
        <f>"2013"</f>
        <v>2013</v>
      </c>
      <c r="F636" s="1" t="str">
        <f>"Dinh"</f>
        <v>Dinh</v>
      </c>
      <c r="G636" s="1" t="str">
        <f>"avanddanesh"</f>
        <v>avanddanesh</v>
      </c>
      <c r="J636" s="1"/>
    </row>
    <row r="637" spans="1:10" x14ac:dyDescent="0.2">
      <c r="A637" s="1" t="str">
        <f>"Introduction to Computational Chemistry,3e"</f>
        <v>Introduction to Computational Chemistry,3e</v>
      </c>
      <c r="B637" s="1" t="str">
        <f>"9781118825990"</f>
        <v>9781118825990</v>
      </c>
      <c r="C637" s="1">
        <v>76.5</v>
      </c>
      <c r="D637" s="1" t="str">
        <f>"USD"</f>
        <v>USD</v>
      </c>
      <c r="E637" s="1" t="str">
        <f>"2017"</f>
        <v>2017</v>
      </c>
      <c r="F637" s="1" t="str">
        <f>"Jensen"</f>
        <v>Jensen</v>
      </c>
      <c r="G637" s="1" t="str">
        <f>"avanddanesh"</f>
        <v>avanddanesh</v>
      </c>
      <c r="J637" s="1"/>
    </row>
    <row r="638" spans="1:10" x14ac:dyDescent="0.2">
      <c r="A638" s="1" t="str">
        <f>"Introduction to Computational Fluid Dynamics: Development, Application and Analysis"</f>
        <v>Introduction to Computational Fluid Dynamics: Development, Application and Analysis</v>
      </c>
      <c r="B638" s="1" t="str">
        <f>"9781119002994"</f>
        <v>9781119002994</v>
      </c>
      <c r="C638" s="1">
        <v>85</v>
      </c>
      <c r="D638" s="1" t="str">
        <f>"USD"</f>
        <v>USD</v>
      </c>
      <c r="E638" s="1" t="str">
        <f>"2016"</f>
        <v>2016</v>
      </c>
      <c r="F638" s="1" t="str">
        <f>"Sharma"</f>
        <v>Sharma</v>
      </c>
      <c r="G638" s="1" t="str">
        <f>"avanddanesh"</f>
        <v>avanddanesh</v>
      </c>
      <c r="J638" s="1"/>
    </row>
    <row r="639" spans="1:10" x14ac:dyDescent="0.2">
      <c r="A639" s="1" t="str">
        <f>"INTRODUCTION TO EARTH SCIENCES: A PHYSICS APPROACH"</f>
        <v>INTRODUCTION TO EARTH SCIENCES: A PHYSICS APPROACH</v>
      </c>
      <c r="B639" s="1" t="str">
        <f>"9789813148420"</f>
        <v>9789813148420</v>
      </c>
      <c r="C639" s="1">
        <v>50.4</v>
      </c>
      <c r="D639" s="1" t="str">
        <f>"GBP"</f>
        <v>GBP</v>
      </c>
      <c r="E639" s="1" t="str">
        <f>"2017"</f>
        <v>2017</v>
      </c>
      <c r="F639" s="1" t="str">
        <f>"IKELLE LUC THOMAS"</f>
        <v>IKELLE LUC THOMAS</v>
      </c>
      <c r="G639" s="1" t="str">
        <f>"AsarBartar"</f>
        <v>AsarBartar</v>
      </c>
      <c r="J639" s="1"/>
    </row>
    <row r="640" spans="1:10" x14ac:dyDescent="0.2">
      <c r="A640" s="1" t="str">
        <f>"Introduction to Electrodynamics"</f>
        <v>Introduction to Electrodynamics</v>
      </c>
      <c r="B640" s="1" t="str">
        <f>"9781108420419"</f>
        <v>9781108420419</v>
      </c>
      <c r="C640" s="1">
        <v>42.5</v>
      </c>
      <c r="D640" s="1" t="str">
        <f>"GBP"</f>
        <v>GBP</v>
      </c>
      <c r="E640" s="1" t="str">
        <f>"2017"</f>
        <v>2017</v>
      </c>
      <c r="F640" s="1" t="str">
        <f>"Griffiths"</f>
        <v>Griffiths</v>
      </c>
      <c r="G640" s="1" t="str">
        <f>"arzinbooks"</f>
        <v>arzinbooks</v>
      </c>
      <c r="J640" s="1"/>
    </row>
    <row r="641" spans="1:10" x14ac:dyDescent="0.2">
      <c r="A641" s="1" t="str">
        <f>"Introduction to Fiber Optics"</f>
        <v>Introduction to Fiber Optics</v>
      </c>
      <c r="B641" s="1" t="str">
        <f>"9789332550544"</f>
        <v>9789332550544</v>
      </c>
      <c r="C641" s="1">
        <v>6.8</v>
      </c>
      <c r="D641" s="1" t="str">
        <f>"USD"</f>
        <v>USD</v>
      </c>
      <c r="E641" s="1" t="str">
        <f>"2015"</f>
        <v>2015</v>
      </c>
      <c r="F641" s="1" t="str">
        <f>"Shotwell"</f>
        <v>Shotwell</v>
      </c>
      <c r="G641" s="1" t="str">
        <f>"jahanadib"</f>
        <v>jahanadib</v>
      </c>
      <c r="J641" s="1"/>
    </row>
    <row r="642" spans="1:10" x14ac:dyDescent="0.2">
      <c r="A642" s="1" t="str">
        <f>"Introduction to General Relativity"</f>
        <v>Introduction to General Relativity</v>
      </c>
      <c r="B642" s="1" t="str">
        <f>"9781842659496"</f>
        <v>9781842659496</v>
      </c>
      <c r="C642" s="1">
        <v>20.97</v>
      </c>
      <c r="D642" s="1" t="str">
        <f>"GBP"</f>
        <v>GBP</v>
      </c>
      <c r="E642" s="1" t="str">
        <f>"2016"</f>
        <v>2016</v>
      </c>
      <c r="F642" s="1" t="str">
        <f>"Parthasarathy"</f>
        <v>Parthasarathy</v>
      </c>
      <c r="G642" s="1" t="str">
        <f>"jahanadib"</f>
        <v>jahanadib</v>
      </c>
      <c r="J642" s="1"/>
    </row>
    <row r="643" spans="1:10" x14ac:dyDescent="0.2">
      <c r="A643" s="1" t="str">
        <f>"Introduction To Hydrodynamic Stability"</f>
        <v>Introduction To Hydrodynamic Stability</v>
      </c>
      <c r="B643" s="1" t="str">
        <f>"9781316604939"</f>
        <v>9781316604939</v>
      </c>
      <c r="C643" s="1">
        <v>27.2</v>
      </c>
      <c r="D643" s="1" t="str">
        <f>"USD"</f>
        <v>USD</v>
      </c>
      <c r="E643" s="1" t="str">
        <f>"2015"</f>
        <v>2015</v>
      </c>
      <c r="F643" s="1" t="str">
        <f>"Drazin"</f>
        <v>Drazin</v>
      </c>
      <c r="G643" s="1" t="str">
        <f>"jahanadib"</f>
        <v>jahanadib</v>
      </c>
      <c r="J643" s="1"/>
    </row>
    <row r="644" spans="1:10" x14ac:dyDescent="0.2">
      <c r="A644" s="1" t="str">
        <f>"Introduction to Magnetic Random-Access Memory"</f>
        <v>Introduction to Magnetic Random-Access Memory</v>
      </c>
      <c r="B644" s="1" t="str">
        <f>"9781119009740"</f>
        <v>9781119009740</v>
      </c>
      <c r="C644" s="1">
        <v>112.5</v>
      </c>
      <c r="D644" s="1" t="str">
        <f>"USD"</f>
        <v>USD</v>
      </c>
      <c r="E644" s="1" t="str">
        <f>"2017"</f>
        <v>2017</v>
      </c>
      <c r="F644" s="1" t="str">
        <f>"Dieny"</f>
        <v>Dieny</v>
      </c>
      <c r="G644" s="1" t="str">
        <f>"avanddanesh"</f>
        <v>avanddanesh</v>
      </c>
      <c r="J644" s="1"/>
    </row>
    <row r="645" spans="1:10" x14ac:dyDescent="0.2">
      <c r="A645" s="1" t="str">
        <f>"Introduction to Nuclear and Particle Physics, 3/e"</f>
        <v>Introduction to Nuclear and Particle Physics, 3/e</v>
      </c>
      <c r="B645" s="1" t="str">
        <f>"9788120347380"</f>
        <v>9788120347380</v>
      </c>
      <c r="C645" s="1">
        <v>11.05</v>
      </c>
      <c r="D645" s="1" t="str">
        <f>"USD"</f>
        <v>USD</v>
      </c>
      <c r="E645" s="1" t="str">
        <f>"2016"</f>
        <v>2016</v>
      </c>
      <c r="F645" s="1" t="str">
        <f>"Mittal"</f>
        <v>Mittal</v>
      </c>
      <c r="G645" s="1" t="str">
        <f>"safirketab"</f>
        <v>safirketab</v>
      </c>
      <c r="J645" s="1"/>
    </row>
    <row r="646" spans="1:10" x14ac:dyDescent="0.2">
      <c r="A646" s="1" t="str">
        <f>"Introduction to Nuclear and Particle Physics, 3/e"</f>
        <v>Introduction to Nuclear and Particle Physics, 3/e</v>
      </c>
      <c r="B646" s="1" t="str">
        <f>"9788120347380"</f>
        <v>9788120347380</v>
      </c>
      <c r="C646" s="1">
        <v>11.05</v>
      </c>
      <c r="D646" s="1" t="str">
        <f>"USD"</f>
        <v>USD</v>
      </c>
      <c r="E646" s="1" t="str">
        <f>"2016"</f>
        <v>2016</v>
      </c>
      <c r="F646" s="1" t="str">
        <f>"Mittal"</f>
        <v>Mittal</v>
      </c>
      <c r="G646" s="1" t="str">
        <f>"jahanadib"</f>
        <v>jahanadib</v>
      </c>
      <c r="J646" s="1"/>
    </row>
    <row r="647" spans="1:10" x14ac:dyDescent="0.2">
      <c r="A647" s="1" t="str">
        <f>"Introduction to Nuclear Physics"</f>
        <v>Introduction to Nuclear Physics</v>
      </c>
      <c r="B647" s="1" t="str">
        <f>"9781842659243"</f>
        <v>9781842659243</v>
      </c>
      <c r="C647" s="1">
        <v>38.47</v>
      </c>
      <c r="D647" s="1" t="str">
        <f>"GBP"</f>
        <v>GBP</v>
      </c>
      <c r="E647" s="1" t="str">
        <f>"2015"</f>
        <v>2015</v>
      </c>
      <c r="F647" s="1" t="str">
        <f>"Jana"</f>
        <v>Jana</v>
      </c>
      <c r="G647" s="1" t="str">
        <f>"jahanadib"</f>
        <v>jahanadib</v>
      </c>
      <c r="J647" s="1"/>
    </row>
    <row r="648" spans="1:10" x14ac:dyDescent="0.2">
      <c r="A648" s="1" t="str">
        <f>"INTRODUCTION TO PARTICLE DARK MATTER, AN"</f>
        <v>INTRODUCTION TO PARTICLE DARK MATTER, AN</v>
      </c>
      <c r="B648" s="1" t="str">
        <f>"9781786340016"</f>
        <v>9781786340016</v>
      </c>
      <c r="C648" s="1">
        <v>34.200000000000003</v>
      </c>
      <c r="D648" s="1" t="str">
        <f>"GBP"</f>
        <v>GBP</v>
      </c>
      <c r="E648" s="1" t="str">
        <f>"2017"</f>
        <v>2017</v>
      </c>
      <c r="F648" s="1" t="str">
        <f>"PROFUMO STEFANO"</f>
        <v>PROFUMO STEFANO</v>
      </c>
      <c r="G648" s="1" t="str">
        <f>"AsarBartar"</f>
        <v>AsarBartar</v>
      </c>
      <c r="J648" s="1"/>
    </row>
    <row r="649" spans="1:10" x14ac:dyDescent="0.2">
      <c r="A649" s="1" t="str">
        <f>"INTRODUCTION TO PHYSICS, HB"</f>
        <v>INTRODUCTION TO PHYSICS, HB</v>
      </c>
      <c r="B649" s="1" t="str">
        <f>"9780981166032"</f>
        <v>9780981166032</v>
      </c>
      <c r="C649" s="1">
        <v>91</v>
      </c>
      <c r="D649" s="1" t="str">
        <f>"USD"</f>
        <v>USD</v>
      </c>
      <c r="E649" s="1" t="str">
        <f>"2010"</f>
        <v>2010</v>
      </c>
      <c r="F649" s="1" t="str">
        <f>"Phillips"</f>
        <v>Phillips</v>
      </c>
      <c r="G649" s="1" t="str">
        <f>"supply"</f>
        <v>supply</v>
      </c>
      <c r="J649" s="1"/>
    </row>
    <row r="650" spans="1:10" x14ac:dyDescent="0.2">
      <c r="A650" s="1" t="str">
        <f>"Introduction to Plasma Physics: With Space, Laboratory and Astrophysical Applications"</f>
        <v>Introduction to Plasma Physics: With Space, Laboratory and Astrophysical Applications</v>
      </c>
      <c r="B650" s="1" t="str">
        <f>"9781107027374"</f>
        <v>9781107027374</v>
      </c>
      <c r="C650" s="1">
        <v>42.5</v>
      </c>
      <c r="D650" s="1" t="str">
        <f>"GBP"</f>
        <v>GBP</v>
      </c>
      <c r="E650" s="1" t="str">
        <f>"2017"</f>
        <v>2017</v>
      </c>
      <c r="F650" s="1" t="str">
        <f>"DONALD A. GURNETT , "</f>
        <v xml:space="preserve">DONALD A. GURNETT , </v>
      </c>
      <c r="G650" s="1" t="str">
        <f>"arzinbooks"</f>
        <v>arzinbooks</v>
      </c>
      <c r="J650" s="1"/>
    </row>
    <row r="651" spans="1:10" x14ac:dyDescent="0.2">
      <c r="A651" s="1" t="str">
        <f>"Introduction to Power Electronics (Power Engineering)"</f>
        <v>Introduction to Power Electronics (Power Engineering)</v>
      </c>
      <c r="B651" s="1" t="str">
        <f>"9781608077199"</f>
        <v>9781608077199</v>
      </c>
      <c r="C651" s="1">
        <v>65.599999999999994</v>
      </c>
      <c r="D651" s="1" t="str">
        <f>"GBP"</f>
        <v>GBP</v>
      </c>
      <c r="E651" s="1" t="str">
        <f>"2014"</f>
        <v>2014</v>
      </c>
      <c r="F651" s="1" t="str">
        <f>"PAUL H. CHAPPELL"</f>
        <v>PAUL H. CHAPPELL</v>
      </c>
      <c r="G651" s="1" t="str">
        <f>"AsarBartar"</f>
        <v>AsarBartar</v>
      </c>
      <c r="J651" s="1"/>
    </row>
    <row r="652" spans="1:10" x14ac:dyDescent="0.2">
      <c r="A652" s="1" t="str">
        <f>"INTRODUCTION TO QUANTUM FIELD THEORY (SECOND EDITION)"</f>
        <v>INTRODUCTION TO QUANTUM FIELD THEORY (SECOND EDITION)</v>
      </c>
      <c r="B652" s="1" t="str">
        <f>"9789813146662"</f>
        <v>9789813146662</v>
      </c>
      <c r="C652" s="1">
        <v>77.400000000000006</v>
      </c>
      <c r="D652" s="1" t="str">
        <f>"GBP"</f>
        <v>GBP</v>
      </c>
      <c r="E652" s="1" t="str">
        <f>"2017"</f>
        <v>2017</v>
      </c>
      <c r="F652" s="1" t="str">
        <f>"CASALBUONI ROBERTO"</f>
        <v>CASALBUONI ROBERTO</v>
      </c>
      <c r="G652" s="1" t="str">
        <f>"AsarBartar"</f>
        <v>AsarBartar</v>
      </c>
      <c r="J652" s="1"/>
    </row>
    <row r="653" spans="1:10" x14ac:dyDescent="0.2">
      <c r="A653" s="1" t="str">
        <f>"Introduction to Quantum Physics: A First Course for Physicists, Chemists, Materials Scientists, and Engineers"</f>
        <v>Introduction to Quantum Physics: A First Course for Physicists, Chemists, Materials Scientists, and Engineers</v>
      </c>
      <c r="B653" s="1" t="str">
        <f>"9783527412471"</f>
        <v>9783527412471</v>
      </c>
      <c r="C653" s="1">
        <v>108</v>
      </c>
      <c r="D653" s="1" t="str">
        <f>"USD"</f>
        <v>USD</v>
      </c>
      <c r="E653" s="1" t="str">
        <f>"2017"</f>
        <v>2017</v>
      </c>
      <c r="F653" s="1" t="str">
        <f>"Trachanas"</f>
        <v>Trachanas</v>
      </c>
      <c r="G653" s="1" t="str">
        <f>"avanddanesh"</f>
        <v>avanddanesh</v>
      </c>
      <c r="J653" s="1"/>
    </row>
    <row r="654" spans="1:10" x14ac:dyDescent="0.2">
      <c r="A654" s="1" t="str">
        <f>"INTRODUCTION TO RELATIVITY, HB"</f>
        <v>INTRODUCTION TO RELATIVITY, HB</v>
      </c>
      <c r="B654" s="1" t="str">
        <f>"9781926686936"</f>
        <v>9781926686936</v>
      </c>
      <c r="C654" s="1">
        <v>91</v>
      </c>
      <c r="D654" s="1" t="str">
        <f>"USD"</f>
        <v>USD</v>
      </c>
      <c r="E654" s="1" t="str">
        <f>"2010"</f>
        <v>2010</v>
      </c>
      <c r="F654" s="1" t="str">
        <f>"Udoisa "</f>
        <v xml:space="preserve">Udoisa </v>
      </c>
      <c r="G654" s="1" t="str">
        <f>"supply"</f>
        <v>supply</v>
      </c>
      <c r="J654" s="1"/>
    </row>
    <row r="655" spans="1:10" x14ac:dyDescent="0.2">
      <c r="A655" s="1" t="str">
        <f>"Introduction to Synchrotron Radiation: Techniques and Applications"</f>
        <v>Introduction to Synchrotron Radiation: Techniques and Applications</v>
      </c>
      <c r="B655" s="1" t="str">
        <f>"9780470745786"</f>
        <v>9780470745786</v>
      </c>
      <c r="C655" s="1">
        <v>26</v>
      </c>
      <c r="D655" s="1" t="str">
        <f>"USD"</f>
        <v>USD</v>
      </c>
      <c r="E655" s="1" t="str">
        <f>"2011"</f>
        <v>2011</v>
      </c>
      <c r="F655" s="1" t="str">
        <f>"Willmott"</f>
        <v>Willmott</v>
      </c>
      <c r="G655" s="1" t="str">
        <f>"avanddanesh"</f>
        <v>avanddanesh</v>
      </c>
      <c r="J655" s="1"/>
    </row>
    <row r="656" spans="1:10" x14ac:dyDescent="0.2">
      <c r="A656" s="1" t="str">
        <f>"Introduction to the Micromechanics of Composite Materials"</f>
        <v>Introduction to the Micromechanics of Composite Materials</v>
      </c>
      <c r="B656" s="1" t="str">
        <f>"9781498707282"</f>
        <v>9781498707282</v>
      </c>
      <c r="C656" s="1">
        <v>73.8</v>
      </c>
      <c r="D656" s="1" t="str">
        <f>"GBP"</f>
        <v>GBP</v>
      </c>
      <c r="E656" s="1" t="str">
        <f>"2016"</f>
        <v>2016</v>
      </c>
      <c r="F656" s="1" t="str">
        <f>"YIN"</f>
        <v>YIN</v>
      </c>
      <c r="G656" s="1" t="str">
        <f>"sal"</f>
        <v>sal</v>
      </c>
      <c r="J656" s="1"/>
    </row>
    <row r="657" spans="1:10" x14ac:dyDescent="0.2">
      <c r="A657" s="1" t="str">
        <f>"Introduction to the Physics of Electron Emission"</f>
        <v>Introduction to the Physics of Electron Emission</v>
      </c>
      <c r="B657" s="1" t="str">
        <f>"9781119051893"</f>
        <v>9781119051893</v>
      </c>
      <c r="C657" s="1">
        <v>126</v>
      </c>
      <c r="D657" s="1" t="str">
        <f>"USD"</f>
        <v>USD</v>
      </c>
      <c r="E657" s="1" t="str">
        <f>"2017"</f>
        <v>2017</v>
      </c>
      <c r="F657" s="1" t="str">
        <f>"Jensen"</f>
        <v>Jensen</v>
      </c>
      <c r="G657" s="1" t="str">
        <f>"avanddanesh"</f>
        <v>avanddanesh</v>
      </c>
      <c r="J657" s="1"/>
    </row>
    <row r="658" spans="1:10" x14ac:dyDescent="0.2">
      <c r="A658" s="1" t="str">
        <f>"Introduction to the Physics of Silicene and other 2D Materials"</f>
        <v>Introduction to the Physics of Silicene and other 2D Materials</v>
      </c>
      <c r="B658" s="1" t="str">
        <f>"9783319465708"</f>
        <v>9783319465708</v>
      </c>
      <c r="C658" s="1">
        <v>31.49</v>
      </c>
      <c r="D658" s="1" t="str">
        <f>"EUR"</f>
        <v>EUR</v>
      </c>
      <c r="E658" s="1" t="str">
        <f>"2017"</f>
        <v>2017</v>
      </c>
      <c r="F658" s="1" t="str">
        <f>"Cahangirov"</f>
        <v>Cahangirov</v>
      </c>
      <c r="G658" s="1" t="str">
        <f>"negarestanabi"</f>
        <v>negarestanabi</v>
      </c>
      <c r="J658" s="1"/>
    </row>
    <row r="659" spans="1:10" x14ac:dyDescent="0.2">
      <c r="A659" s="1" t="str">
        <f>"Introduction to Thermodynamics and Statistical Mechanics, 2/e"</f>
        <v>Introduction to Thermodynamics and Statistical Mechanics, 2/e</v>
      </c>
      <c r="B659" s="1" t="str">
        <f>"9781783322046"</f>
        <v>9781783322046</v>
      </c>
      <c r="C659" s="1">
        <v>27.97</v>
      </c>
      <c r="D659" s="1" t="str">
        <f>"GBP"</f>
        <v>GBP</v>
      </c>
      <c r="E659" s="1" t="str">
        <f>"2016"</f>
        <v>2016</v>
      </c>
      <c r="F659" s="1" t="str">
        <f>"Saxena"</f>
        <v>Saxena</v>
      </c>
      <c r="G659" s="1" t="str">
        <f>"jahanadib"</f>
        <v>jahanadib</v>
      </c>
      <c r="J659" s="1"/>
    </row>
    <row r="660" spans="1:10" x14ac:dyDescent="0.2">
      <c r="A660" s="1" t="str">
        <f>"Introduction to Thermoelectricity. 2/ed"</f>
        <v>Introduction to Thermoelectricity. 2/ed</v>
      </c>
      <c r="B660" s="1" t="str">
        <f>"9783662492550"</f>
        <v>9783662492550</v>
      </c>
      <c r="C660" s="1">
        <v>107.99</v>
      </c>
      <c r="D660" s="1" t="str">
        <f>"EUR"</f>
        <v>EUR</v>
      </c>
      <c r="E660" s="1" t="str">
        <f>"2016"</f>
        <v>2016</v>
      </c>
      <c r="F660" s="1" t="str">
        <f>"Goldsmid"</f>
        <v>Goldsmid</v>
      </c>
      <c r="G660" s="1" t="str">
        <f>"negarestanabi"</f>
        <v>negarestanabi</v>
      </c>
      <c r="J660" s="1"/>
    </row>
    <row r="661" spans="1:10" x14ac:dyDescent="0.2">
      <c r="A661" s="1" t="str">
        <f>"Introduction to Time-Resolved Spectroscopy: An Experimental Perspective"</f>
        <v>Introduction to Time-Resolved Spectroscopy: An Experimental Perspective</v>
      </c>
      <c r="B661" s="1" t="str">
        <f>"9781498716734"</f>
        <v>9781498716734</v>
      </c>
      <c r="C661" s="1">
        <v>69.290000000000006</v>
      </c>
      <c r="D661" s="1" t="str">
        <f>"GBP"</f>
        <v>GBP</v>
      </c>
      <c r="E661" s="1" t="str">
        <f>"2018"</f>
        <v>2018</v>
      </c>
      <c r="F661" s="1" t="str">
        <f>"Weinacht"</f>
        <v>Weinacht</v>
      </c>
      <c r="G661" s="1" t="str">
        <f>"sal"</f>
        <v>sal</v>
      </c>
      <c r="J661" s="1"/>
    </row>
    <row r="662" spans="1:10" x14ac:dyDescent="0.2">
      <c r="A662" s="1" t="str">
        <f>"Introduction to Vibrations and Waves"</f>
        <v>Introduction to Vibrations and Waves</v>
      </c>
      <c r="B662" s="1" t="str">
        <f>"9781118441084"</f>
        <v>9781118441084</v>
      </c>
      <c r="C662" s="1">
        <v>40</v>
      </c>
      <c r="D662" s="1" t="str">
        <f>"USD"</f>
        <v>USD</v>
      </c>
      <c r="E662" s="1" t="str">
        <f>"2015"</f>
        <v>2015</v>
      </c>
      <c r="F662" s="1" t="str">
        <f>"Pain"</f>
        <v>Pain</v>
      </c>
      <c r="G662" s="1" t="str">
        <f>"avanddanesh"</f>
        <v>avanddanesh</v>
      </c>
      <c r="J662" s="1"/>
    </row>
    <row r="663" spans="1:10" x14ac:dyDescent="0.2">
      <c r="A663" s="1" t="str">
        <f>"Introductory Physics with Calculus      "</f>
        <v xml:space="preserve">Introductory Physics with Calculus      </v>
      </c>
      <c r="B663" s="1" t="str">
        <f>"9780471739104"</f>
        <v>9780471739104</v>
      </c>
      <c r="C663" s="1">
        <v>31.8</v>
      </c>
      <c r="D663" s="1" t="str">
        <f>"USD"</f>
        <v>USD</v>
      </c>
      <c r="E663" s="1" t="str">
        <f>"2006"</f>
        <v>2006</v>
      </c>
      <c r="F663" s="1" t="str">
        <f>"Barrett"</f>
        <v>Barrett</v>
      </c>
      <c r="G663" s="1" t="str">
        <f>"safirketab"</f>
        <v>safirketab</v>
      </c>
      <c r="J663" s="1"/>
    </row>
    <row r="664" spans="1:10" x14ac:dyDescent="0.2">
      <c r="A664" s="1" t="str">
        <f>"INVITATION TO GENERALIZED EMPIRICAL METHOD: IN PHILOSOPHY AND SCIENCE"</f>
        <v>INVITATION TO GENERALIZED EMPIRICAL METHOD: IN PHILOSOPHY AND SCIENCE</v>
      </c>
      <c r="B664" s="1" t="str">
        <f>"9789813208438"</f>
        <v>9789813208438</v>
      </c>
      <c r="C664" s="1">
        <v>72.900000000000006</v>
      </c>
      <c r="D664" s="1" t="str">
        <f>"GBP"</f>
        <v>GBP</v>
      </c>
      <c r="E664" s="1" t="str">
        <f>"2017"</f>
        <v>2017</v>
      </c>
      <c r="F664" s="1" t="str">
        <f>"QUINN TERRANCE J"</f>
        <v>QUINN TERRANCE J</v>
      </c>
      <c r="G664" s="1" t="str">
        <f>"AsarBartar"</f>
        <v>AsarBartar</v>
      </c>
      <c r="J664" s="1"/>
    </row>
    <row r="665" spans="1:10" x14ac:dyDescent="0.2">
      <c r="A665" s="1" t="str">
        <f>"ISO 13485 STANDARD, COMPLETE GUIDE"</f>
        <v>ISO 13485 STANDARD, COMPLETE GUIDE</v>
      </c>
      <c r="B665" s="1" t="str">
        <f>"9781439866115"</f>
        <v>9781439866115</v>
      </c>
      <c r="C665" s="1">
        <v>65.400000000000006</v>
      </c>
      <c r="D665" s="1" t="str">
        <f>"GBP"</f>
        <v>GBP</v>
      </c>
      <c r="E665" s="1" t="str">
        <f>"2012"</f>
        <v>2012</v>
      </c>
      <c r="F665" s="1" t="str">
        <f>"ITAY ABUHAV"</f>
        <v>ITAY ABUHAV</v>
      </c>
      <c r="G665" s="1" t="str">
        <f>"AsarBartar"</f>
        <v>AsarBartar</v>
      </c>
      <c r="J665" s="1"/>
    </row>
    <row r="666" spans="1:10" x14ac:dyDescent="0.2">
      <c r="A666" s="1" t="str">
        <f>"ISOMETRIC IMMERSIONS AND EMBEDDINGS OF LOCALLY EUCLIDEAN METRICS, PB"</f>
        <v>ISOMETRIC IMMERSIONS AND EMBEDDINGS OF LOCALLY EUCLIDEAN METRICS, PB</v>
      </c>
      <c r="B666" s="1" t="str">
        <f>"9781904868620"</f>
        <v>9781904868620</v>
      </c>
      <c r="C666" s="1">
        <v>24.5</v>
      </c>
      <c r="D666" s="1" t="str">
        <f>"GBP"</f>
        <v>GBP</v>
      </c>
      <c r="E666" s="1" t="str">
        <f>"2009"</f>
        <v>2009</v>
      </c>
      <c r="F666" s="1" t="str">
        <f>"Sabitov"</f>
        <v>Sabitov</v>
      </c>
      <c r="G666" s="1" t="str">
        <f>"supply"</f>
        <v>supply</v>
      </c>
      <c r="J666" s="1"/>
    </row>
    <row r="667" spans="1:10" x14ac:dyDescent="0.2">
      <c r="A667" s="1" t="str">
        <f>"Joseph Rotblat: Visionary for Peace"</f>
        <v>Joseph Rotblat: Visionary for Peace</v>
      </c>
      <c r="B667" s="1" t="str">
        <f>"9783527406906"</f>
        <v>9783527406906</v>
      </c>
      <c r="C667" s="1">
        <v>30</v>
      </c>
      <c r="D667" s="1" t="str">
        <f>"USD"</f>
        <v>USD</v>
      </c>
      <c r="E667" s="1" t="str">
        <f>"2007"</f>
        <v>2007</v>
      </c>
      <c r="F667" s="1" t="str">
        <f>"Braun-Physics &amp; Astr"</f>
        <v>Braun-Physics &amp; Astr</v>
      </c>
      <c r="G667" s="1" t="str">
        <f>"safirketab"</f>
        <v>safirketab</v>
      </c>
      <c r="J667" s="1"/>
    </row>
    <row r="668" spans="1:10" x14ac:dyDescent="0.2">
      <c r="A668" s="1" t="str">
        <f>"Joseph Rotblat: Visionary for Peace"</f>
        <v>Joseph Rotblat: Visionary for Peace</v>
      </c>
      <c r="B668" s="1" t="str">
        <f>"9783527406906"</f>
        <v>9783527406906</v>
      </c>
      <c r="C668" s="1">
        <v>30</v>
      </c>
      <c r="D668" s="1" t="str">
        <f>"USD"</f>
        <v>USD</v>
      </c>
      <c r="E668" s="1" t="str">
        <f>"2007"</f>
        <v>2007</v>
      </c>
      <c r="F668" s="1" t="str">
        <f>"Braun"</f>
        <v>Braun</v>
      </c>
      <c r="G668" s="1" t="str">
        <f>"avanddanesh"</f>
        <v>avanddanesh</v>
      </c>
      <c r="J668" s="1"/>
    </row>
    <row r="669" spans="1:10" x14ac:dyDescent="0.2">
      <c r="A669" s="1" t="str">
        <f>"Kalman Filtering: with Real-Time Applications. 5/ed"</f>
        <v>Kalman Filtering: with Real-Time Applications. 5/ed</v>
      </c>
      <c r="B669" s="1" t="str">
        <f>"9783319476100"</f>
        <v>9783319476100</v>
      </c>
      <c r="C669" s="1">
        <v>51.29</v>
      </c>
      <c r="D669" s="1" t="str">
        <f>"EUR"</f>
        <v>EUR</v>
      </c>
      <c r="E669" s="1" t="str">
        <f>"2017"</f>
        <v>2017</v>
      </c>
      <c r="F669" s="1" t="str">
        <f>"Chui"</f>
        <v>Chui</v>
      </c>
      <c r="G669" s="1" t="str">
        <f>"negarestanabi"</f>
        <v>negarestanabi</v>
      </c>
      <c r="J669" s="1"/>
    </row>
    <row r="670" spans="1:10" x14ac:dyDescent="0.2">
      <c r="A670" s="1" t="str">
        <f>"Kappa Distributions, Theory and Applications in Plasmas"</f>
        <v>Kappa Distributions, Theory and Applications in Plasmas</v>
      </c>
      <c r="B670" s="1" t="str">
        <f>"9780128046340"</f>
        <v>9780128046340</v>
      </c>
      <c r="C670" s="1">
        <v>108</v>
      </c>
      <c r="D670" s="1" t="str">
        <f>"USD"</f>
        <v>USD</v>
      </c>
      <c r="E670" s="1" t="str">
        <f>"2017"</f>
        <v>2017</v>
      </c>
      <c r="F670" s="1" t="str">
        <f>"Livadiotis"</f>
        <v>Livadiotis</v>
      </c>
      <c r="G670" s="1" t="str">
        <f>"dehkadehketab"</f>
        <v>dehkadehketab</v>
      </c>
      <c r="J670" s="1"/>
    </row>
    <row r="671" spans="1:10" x14ac:dyDescent="0.2">
      <c r="A671" s="1" t="str">
        <f>"KEEPING THE LIGHTS ON: TOWARDS SUSTAINABLE ELECTRICITY"</f>
        <v>KEEPING THE LIGHTS ON: TOWARDS SUSTAINABLE ELECTRICITY</v>
      </c>
      <c r="B671" s="1" t="str">
        <f>"9781844077984"</f>
        <v>9781844077984</v>
      </c>
      <c r="C671" s="1">
        <v>5.39</v>
      </c>
      <c r="D671" s="1" t="str">
        <f>"GBP"</f>
        <v>GBP</v>
      </c>
      <c r="E671" s="1" t="str">
        <f>"2009"</f>
        <v>2009</v>
      </c>
      <c r="F671" s="1" t="str">
        <f>"WALT PATTERSON"</f>
        <v>WALT PATTERSON</v>
      </c>
      <c r="G671" s="1" t="str">
        <f>"AsarBartar"</f>
        <v>AsarBartar</v>
      </c>
      <c r="J671" s="1"/>
    </row>
    <row r="672" spans="1:10" x14ac:dyDescent="0.2">
      <c r="A672" s="1" t="str">
        <f>"Kinetic Theory of Nonequilibrium Ensembles. Irreversible Thermodynamics. and Generalized Hydrodynamics: Volume 2"</f>
        <v>Kinetic Theory of Nonequilibrium Ensembles. Irreversible Thermodynamics. and Generalized Hydrodynamics: Volume 2</v>
      </c>
      <c r="B672" s="1" t="str">
        <f>"9783319411521"</f>
        <v>9783319411521</v>
      </c>
      <c r="C672" s="1">
        <v>107.99</v>
      </c>
      <c r="D672" s="1" t="str">
        <f>"EUR"</f>
        <v>EUR</v>
      </c>
      <c r="E672" s="1" t="str">
        <f>"2016"</f>
        <v>2016</v>
      </c>
      <c r="F672" s="1" t="str">
        <f>"Eu"</f>
        <v>Eu</v>
      </c>
      <c r="G672" s="1" t="str">
        <f>"negarestanabi"</f>
        <v>negarestanabi</v>
      </c>
      <c r="J672" s="1"/>
    </row>
    <row r="673" spans="1:10" x14ac:dyDescent="0.2">
      <c r="A673" s="1" t="str">
        <f>"Kinetic Theory of Nucleation"</f>
        <v>Kinetic Theory of Nucleation</v>
      </c>
      <c r="B673" s="1" t="str">
        <f>"9781498762830"</f>
        <v>9781498762830</v>
      </c>
      <c r="C673" s="1">
        <v>122.4</v>
      </c>
      <c r="D673" s="1" t="str">
        <f>"GBP"</f>
        <v>GBP</v>
      </c>
      <c r="E673" s="1" t="str">
        <f>"2016"</f>
        <v>2016</v>
      </c>
      <c r="F673" s="1" t="str">
        <f>"RUCKENSTEIN"</f>
        <v>RUCKENSTEIN</v>
      </c>
      <c r="G673" s="1" t="str">
        <f>"sal"</f>
        <v>sal</v>
      </c>
      <c r="J673" s="1"/>
    </row>
    <row r="674" spans="1:10" x14ac:dyDescent="0.2">
      <c r="A674" s="1" t="str">
        <f>"Kinetics in Materials Science and Engineering"</f>
        <v>Kinetics in Materials Science and Engineering</v>
      </c>
      <c r="B674" s="1" t="str">
        <f>"9781138732469"</f>
        <v>9781138732469</v>
      </c>
      <c r="C674" s="1">
        <v>112.5</v>
      </c>
      <c r="D674" s="1" t="str">
        <f>"GBP"</f>
        <v>GBP</v>
      </c>
      <c r="E674" s="1" t="str">
        <f>"2017"</f>
        <v>2017</v>
      </c>
      <c r="F674" s="1" t="str">
        <f>"READEY"</f>
        <v>READEY</v>
      </c>
      <c r="G674" s="1" t="str">
        <f>"sal"</f>
        <v>sal</v>
      </c>
      <c r="J674" s="1"/>
    </row>
    <row r="675" spans="1:10" x14ac:dyDescent="0.2">
      <c r="A675" s="1" t="str">
        <f>"Kinetics of First Order Phase Transitions"</f>
        <v>Kinetics of First Order Phase Transitions</v>
      </c>
      <c r="B675" s="1" t="str">
        <f>"9783527407750"</f>
        <v>9783527407750</v>
      </c>
      <c r="C675" s="1">
        <v>138.75</v>
      </c>
      <c r="D675" s="1" t="str">
        <f>"USD"</f>
        <v>USD</v>
      </c>
      <c r="E675" s="1" t="str">
        <f>"2009"</f>
        <v>2009</v>
      </c>
      <c r="F675" s="1" t="str">
        <f>"Slezov"</f>
        <v>Slezov</v>
      </c>
      <c r="G675" s="1" t="str">
        <f>"safirketab"</f>
        <v>safirketab</v>
      </c>
      <c r="J675" s="1"/>
    </row>
    <row r="676" spans="1:10" x14ac:dyDescent="0.2">
      <c r="A676" s="1" t="str">
        <f>"Lagrangian Oceanography: Large-scale Transport and Mixing in the Ocean"</f>
        <v>Lagrangian Oceanography: Large-scale Transport and Mixing in the Ocean</v>
      </c>
      <c r="B676" s="1" t="str">
        <f>"9783319530215"</f>
        <v>9783319530215</v>
      </c>
      <c r="C676" s="1">
        <v>87.29</v>
      </c>
      <c r="D676" s="1" t="str">
        <f>"EUR"</f>
        <v>EUR</v>
      </c>
      <c r="E676" s="1" t="str">
        <f>"2017"</f>
        <v>2017</v>
      </c>
      <c r="F676" s="1" t="str">
        <f>"Prants"</f>
        <v>Prants</v>
      </c>
      <c r="G676" s="1" t="str">
        <f>"negarestanabi"</f>
        <v>negarestanabi</v>
      </c>
      <c r="J676" s="1"/>
    </row>
    <row r="677" spans="1:10" x14ac:dyDescent="0.2">
      <c r="A677" s="1" t="str">
        <f>"LANGEVIN EQUATION, THE: WITH APPLICATIONS TO STOCHASTIC PROBLEMS IN PHYSICS, CHEMISTRY AND ELECTRICAL ENGINEERING (FOURTH EDITION)"</f>
        <v>LANGEVIN EQUATION, THE: WITH APPLICATIONS TO STOCHASTIC PROBLEMS IN PHYSICS, CHEMISTRY AND ELECTRICAL ENGINEERING (FOURTH EDITION)</v>
      </c>
      <c r="B677" s="1" t="str">
        <f>"9789813221994"</f>
        <v>9789813221994</v>
      </c>
      <c r="C677" s="1">
        <v>147.6</v>
      </c>
      <c r="D677" s="1" t="str">
        <f>"GBP"</f>
        <v>GBP</v>
      </c>
      <c r="E677" s="1" t="str">
        <f>"2017"</f>
        <v>2017</v>
      </c>
      <c r="F677" s="1" t="str">
        <f>"KALMYKOV YURI P ET"</f>
        <v>KALMYKOV YURI P ET</v>
      </c>
      <c r="G677" s="1" t="str">
        <f>"AsarBartar"</f>
        <v>AsarBartar</v>
      </c>
      <c r="J677" s="1"/>
    </row>
    <row r="678" spans="1:10" x14ac:dyDescent="0.2">
      <c r="A678" s="1" t="str">
        <f>"Large-Scale Solar Thermal Power - Technologies, Costs and Development"</f>
        <v>Large-Scale Solar Thermal Power - Technologies, Costs and Development</v>
      </c>
      <c r="B678" s="1" t="str">
        <f>"9783527405152"</f>
        <v>9783527405152</v>
      </c>
      <c r="C678" s="1">
        <v>138.6</v>
      </c>
      <c r="D678" s="1" t="str">
        <f>"USD"</f>
        <v>USD</v>
      </c>
      <c r="E678" s="1" t="str">
        <f>"2010"</f>
        <v>2010</v>
      </c>
      <c r="F678" s="1" t="str">
        <f>"Vogel"</f>
        <v>Vogel</v>
      </c>
      <c r="G678" s="1" t="str">
        <f>"safirketab"</f>
        <v>safirketab</v>
      </c>
      <c r="J678" s="1"/>
    </row>
    <row r="679" spans="1:10" x14ac:dyDescent="0.2">
      <c r="A679" s="1" t="str">
        <f>"Laser Cooling Of Solids, HB"</f>
        <v>Laser Cooling Of Solids, HB</v>
      </c>
      <c r="B679" s="1" t="str">
        <f>"9781439808962"</f>
        <v>9781439808962</v>
      </c>
      <c r="C679" s="1">
        <v>80.5</v>
      </c>
      <c r="D679" s="1" t="str">
        <f>"GBP"</f>
        <v>GBP</v>
      </c>
      <c r="E679" s="1" t="str">
        <f>"2009"</f>
        <v>2009</v>
      </c>
      <c r="F679" s="1" t="str">
        <f>"Petrushkin"</f>
        <v>Petrushkin</v>
      </c>
      <c r="G679" s="1" t="str">
        <f>"supply"</f>
        <v>supply</v>
      </c>
      <c r="J679" s="1"/>
    </row>
    <row r="680" spans="1:10" x14ac:dyDescent="0.2">
      <c r="A680" s="1" t="str">
        <f>"Laser Isotope Separation in Atomic Vapor"</f>
        <v>Laser Isotope Separation in Atomic Vapor</v>
      </c>
      <c r="B680" s="1" t="str">
        <f>"9783527406210"</f>
        <v>9783527406210</v>
      </c>
      <c r="C680" s="1">
        <v>93</v>
      </c>
      <c r="D680" s="1" t="str">
        <f>"USD"</f>
        <v>USD</v>
      </c>
      <c r="E680" s="1" t="str">
        <f>"2006"</f>
        <v>2006</v>
      </c>
      <c r="F680" s="1" t="str">
        <f>"Prokhorov"</f>
        <v>Prokhorov</v>
      </c>
      <c r="G680" s="1" t="str">
        <f>"safirketab"</f>
        <v>safirketab</v>
      </c>
      <c r="J680" s="1"/>
    </row>
    <row r="681" spans="1:10" x14ac:dyDescent="0.2">
      <c r="A681" s="1" t="str">
        <f>"Laser Spectroscopy for Sensing, Fundamentals, Techniques and Applications"</f>
        <v>Laser Spectroscopy for Sensing, Fundamentals, Techniques and Applications</v>
      </c>
      <c r="B681" s="1" t="str">
        <f>"9780081013793"</f>
        <v>9780081013793</v>
      </c>
      <c r="C681" s="1">
        <v>265.5</v>
      </c>
      <c r="D681" s="1" t="str">
        <f>"USD"</f>
        <v>USD</v>
      </c>
      <c r="E681" s="1" t="str">
        <f>"2017"</f>
        <v>2017</v>
      </c>
      <c r="F681" s="1" t="str">
        <f>"Baudelet"</f>
        <v>Baudelet</v>
      </c>
      <c r="G681" s="1" t="str">
        <f>"dehkadehketab"</f>
        <v>dehkadehketab</v>
      </c>
      <c r="J681" s="1"/>
    </row>
    <row r="682" spans="1:10" x14ac:dyDescent="0.2">
      <c r="A682" s="1" t="str">
        <f>"Laser:Grundlagen und Anwendungen in Photonik, Technik, Medizin und Kunst"</f>
        <v>Laser:Grundlagen und Anwendungen in Photonik, Technik, Medizin und Kunst</v>
      </c>
      <c r="B682" s="1" t="str">
        <f>"9783527408030"</f>
        <v>9783527408030</v>
      </c>
      <c r="C682" s="1">
        <v>52.5</v>
      </c>
      <c r="D682" s="1" t="str">
        <f>"USD"</f>
        <v>USD</v>
      </c>
      <c r="E682" s="1" t="str">
        <f>"2009"</f>
        <v>2009</v>
      </c>
      <c r="F682" s="1" t="str">
        <f>"B?uerle"</f>
        <v>B?uerle</v>
      </c>
      <c r="G682" s="1" t="str">
        <f>"safirketab"</f>
        <v>safirketab</v>
      </c>
      <c r="J682" s="1"/>
    </row>
    <row r="683" spans="1:10" x14ac:dyDescent="0.2">
      <c r="A683" s="1" t="str">
        <f>"LASERS FOR SCIENTISTS AND ENGINEERS"</f>
        <v>LASERS FOR SCIENTISTS AND ENGINEERS</v>
      </c>
      <c r="B683" s="1" t="str">
        <f>"9789813224285"</f>
        <v>9789813224285</v>
      </c>
      <c r="C683" s="1">
        <v>77.400000000000006</v>
      </c>
      <c r="D683" s="1" t="str">
        <f>"GBP"</f>
        <v>GBP</v>
      </c>
      <c r="E683" s="1" t="str">
        <f>"2017"</f>
        <v>2017</v>
      </c>
      <c r="F683" s="1" t="str">
        <f>"ANDERSON L WILMER &amp;"</f>
        <v>ANDERSON L WILMER &amp;</v>
      </c>
      <c r="G683" s="1" t="str">
        <f>"AsarBartar"</f>
        <v>AsarBartar</v>
      </c>
      <c r="J683" s="1"/>
    </row>
    <row r="684" spans="1:10" x14ac:dyDescent="0.2">
      <c r="A684" s="1" t="str">
        <f>"Lectures on Classical and Quantum Theory of Fields. 2/ed"</f>
        <v>Lectures on Classical and Quantum Theory of Fields. 2/ed</v>
      </c>
      <c r="B684" s="1" t="str">
        <f>"9783319556178"</f>
        <v>9783319556178</v>
      </c>
      <c r="C684" s="1">
        <v>62.99</v>
      </c>
      <c r="D684" s="1" t="str">
        <f>"EUR"</f>
        <v>EUR</v>
      </c>
      <c r="E684" s="1" t="str">
        <f>"2017"</f>
        <v>2017</v>
      </c>
      <c r="F684" s="1" t="str">
        <f>"Arodz"</f>
        <v>Arodz</v>
      </c>
      <c r="G684" s="1" t="str">
        <f>"negarestanabi"</f>
        <v>negarestanabi</v>
      </c>
      <c r="J684" s="1"/>
    </row>
    <row r="685" spans="1:10" x14ac:dyDescent="0.2">
      <c r="A685" s="1" t="str">
        <f>"Lectures on Matrix Field Theory"</f>
        <v>Lectures on Matrix Field Theory</v>
      </c>
      <c r="B685" s="1" t="str">
        <f>"9783319460024"</f>
        <v>9783319460024</v>
      </c>
      <c r="C685" s="1">
        <v>40.49</v>
      </c>
      <c r="D685" s="1" t="str">
        <f>"EUR"</f>
        <v>EUR</v>
      </c>
      <c r="E685" s="1" t="str">
        <f>"2017"</f>
        <v>2017</v>
      </c>
      <c r="F685" s="1" t="str">
        <f>"Ydri"</f>
        <v>Ydri</v>
      </c>
      <c r="G685" s="1" t="str">
        <f>"negarestanabi"</f>
        <v>negarestanabi</v>
      </c>
      <c r="J685" s="1"/>
    </row>
    <row r="686" spans="1:10" x14ac:dyDescent="0.2">
      <c r="A686" s="1" t="str">
        <f>"LED Lighting: Technology and Perception"</f>
        <v>LED Lighting: Technology and Perception</v>
      </c>
      <c r="B686" s="1" t="str">
        <f>"9783527412129"</f>
        <v>9783527412129</v>
      </c>
      <c r="C686" s="1">
        <v>147</v>
      </c>
      <c r="D686" s="1" t="str">
        <f>"USD"</f>
        <v>USD</v>
      </c>
      <c r="E686" s="1" t="str">
        <f>"2014"</f>
        <v>2014</v>
      </c>
      <c r="F686" s="1" t="str">
        <f>"Khan"</f>
        <v>Khan</v>
      </c>
      <c r="G686" s="1" t="str">
        <f>"avanddanesh"</f>
        <v>avanddanesh</v>
      </c>
      <c r="J686" s="1"/>
    </row>
    <row r="687" spans="1:10" x14ac:dyDescent="0.2">
      <c r="A687" s="1" t="str">
        <f>"LEOMA and the US Laser Industry: The Good and Bad Moves for Trade Associations in Emerging High-Tech Industries"</f>
        <v>LEOMA and the US Laser Industry: The Good and Bad Moves for Trade Associations in Emerging High-Tech Industries</v>
      </c>
      <c r="B687" s="1" t="str">
        <f>"9781118010242"</f>
        <v>9781118010242</v>
      </c>
      <c r="C687" s="1">
        <v>74.400000000000006</v>
      </c>
      <c r="D687" s="1" t="str">
        <f>"USD"</f>
        <v>USD</v>
      </c>
      <c r="E687" s="1" t="str">
        <f>"2015"</f>
        <v>2015</v>
      </c>
      <c r="F687" s="1" t="str">
        <f>"Hitz"</f>
        <v>Hitz</v>
      </c>
      <c r="G687" s="1" t="str">
        <f>"avanddanesh"</f>
        <v>avanddanesh</v>
      </c>
      <c r="J687" s="1"/>
    </row>
    <row r="688" spans="1:10" x14ac:dyDescent="0.2">
      <c r="A688" s="1" t="str">
        <f>"Lie Algebras and Applications. 2/ed"</f>
        <v>Lie Algebras and Applications. 2/ed</v>
      </c>
      <c r="B688" s="1" t="str">
        <f>"9783662444931"</f>
        <v>9783662444931</v>
      </c>
      <c r="C688" s="1">
        <v>35.99</v>
      </c>
      <c r="D688" s="1" t="str">
        <f>"EUR"</f>
        <v>EUR</v>
      </c>
      <c r="E688" s="1" t="str">
        <f>"2015"</f>
        <v>2015</v>
      </c>
      <c r="F688" s="1" t="str">
        <f>"Iachello"</f>
        <v>Iachello</v>
      </c>
      <c r="G688" s="1" t="str">
        <f>"negarestanabi"</f>
        <v>negarestanabi</v>
      </c>
      <c r="J688" s="1"/>
    </row>
    <row r="689" spans="1:10" x14ac:dyDescent="0.2">
      <c r="A689" s="1" t="str">
        <f>"Light and Vacuum: The Wave-Particle Nature of the Light and the Quantum Vacuum through the Coupling of Electromagnetic Theory and Quantum Electrodyna"</f>
        <v>Light and Vacuum: The Wave-Particle Nature of the Light and the Quantum Vacuum through the Coupling of Electromagnetic Theory and Quantum Electrodyna</v>
      </c>
      <c r="B689" s="1" t="str">
        <f>"9789814630894"</f>
        <v>9789814630894</v>
      </c>
      <c r="C689" s="1">
        <v>56.1</v>
      </c>
      <c r="D689" s="1" t="str">
        <f>"GBP"</f>
        <v>GBP</v>
      </c>
      <c r="E689" s="1" t="str">
        <f>"2015"</f>
        <v>2015</v>
      </c>
      <c r="F689" s="1" t="str">
        <f>"Constantin Meis"</f>
        <v>Constantin Meis</v>
      </c>
      <c r="G689" s="1" t="str">
        <f>"AsarBartar"</f>
        <v>AsarBartar</v>
      </c>
      <c r="J689" s="1"/>
    </row>
    <row r="690" spans="1:10" x14ac:dyDescent="0.2">
      <c r="A690" s="1" t="str">
        <f>"LIGHT AND VACUUM: THE WAVE-PARTICLE NATURE OF THE LIGHT AND THE QUANTUM VACUUM. ELECTROMAGNETIC THEORY AND QUANTUM ELECTRODYNAMICS BEYOND THE STANDAR"</f>
        <v>LIGHT AND VACUUM: THE WAVE-PARTICLE NATURE OF THE LIGHT AND THE QUANTUM VACUUM. ELECTROMAGNETIC THEORY AND QUANTUM ELECTRODYNAMICS BEYOND THE STANDAR</v>
      </c>
      <c r="B690" s="1" t="str">
        <f>"9789813209947"</f>
        <v>9789813209947</v>
      </c>
      <c r="C690" s="1">
        <v>65.7</v>
      </c>
      <c r="D690" s="1" t="str">
        <f>"GBP"</f>
        <v>GBP</v>
      </c>
      <c r="E690" s="1" t="str">
        <f>"2017"</f>
        <v>2017</v>
      </c>
      <c r="F690" s="1" t="str">
        <f>"MEIS CONSTANTIN"</f>
        <v>MEIS CONSTANTIN</v>
      </c>
      <c r="G690" s="1" t="str">
        <f>"AsarBartar"</f>
        <v>AsarBartar</v>
      </c>
      <c r="J690" s="1"/>
    </row>
    <row r="691" spans="1:10" x14ac:dyDescent="0.2">
      <c r="A691" s="1" t="str">
        <f>"Light-Matter Interaction: Atoms and Molecules in External Fields and Nonlinear Optics"</f>
        <v>Light-Matter Interaction: Atoms and Molecules in External Fields and Nonlinear Optics</v>
      </c>
      <c r="B691" s="1" t="str">
        <f>"9783527406616"</f>
        <v>9783527406616</v>
      </c>
      <c r="C691" s="1">
        <v>51</v>
      </c>
      <c r="D691" s="1" t="str">
        <f>"USD"</f>
        <v>USD</v>
      </c>
      <c r="E691" s="1" t="str">
        <f>"2007"</f>
        <v>2007</v>
      </c>
      <c r="F691" s="1" t="str">
        <f>"Hill-Physics"</f>
        <v>Hill-Physics</v>
      </c>
      <c r="G691" s="1" t="str">
        <f>"safirketab"</f>
        <v>safirketab</v>
      </c>
      <c r="J691" s="1"/>
    </row>
    <row r="692" spans="1:10" x14ac:dyDescent="0.2">
      <c r="A692" s="1" t="str">
        <f>"Lise Meitner and the Dawn of the Nuclear Age"</f>
        <v>Lise Meitner and the Dawn of the Nuclear Age</v>
      </c>
      <c r="B692" s="1" t="str">
        <f>"9780817645595"</f>
        <v>9780817645595</v>
      </c>
      <c r="C692" s="1">
        <v>31.99</v>
      </c>
      <c r="D692" s="1" t="str">
        <f>"USD"</f>
        <v>USD</v>
      </c>
      <c r="E692" s="1" t="str">
        <f>"2006"</f>
        <v>2006</v>
      </c>
      <c r="F692" s="1" t="str">
        <f>"Rife,P."</f>
        <v>Rife,P.</v>
      </c>
      <c r="G692" s="1" t="str">
        <f>"safirketab"</f>
        <v>safirketab</v>
      </c>
      <c r="J692" s="1"/>
    </row>
    <row r="693" spans="1:10" x14ac:dyDescent="0.2">
      <c r="A693" s="1" t="str">
        <f>"Longitudinally Polarised Terahertz Radiation for Relativistic Particle Acceleration"</f>
        <v>Longitudinally Polarised Terahertz Radiation for Relativistic Particle Acceleration</v>
      </c>
      <c r="B693" s="1" t="str">
        <f>"9783319486420"</f>
        <v>9783319486420</v>
      </c>
      <c r="C693" s="1">
        <v>89.99</v>
      </c>
      <c r="D693" s="1" t="str">
        <f>"EUR"</f>
        <v>EUR</v>
      </c>
      <c r="E693" s="1" t="str">
        <f>"2017"</f>
        <v>2017</v>
      </c>
      <c r="F693" s="1" t="str">
        <f>"Cliffe"</f>
        <v>Cliffe</v>
      </c>
      <c r="G693" s="1" t="str">
        <f>"negarestanabi"</f>
        <v>negarestanabi</v>
      </c>
      <c r="J693" s="1"/>
    </row>
    <row r="694" spans="1:10" x14ac:dyDescent="0.2">
      <c r="A694" s="1" t="str">
        <f>"Low Molecular Weight Organic Semiconductors"</f>
        <v>Low Molecular Weight Organic Semiconductors</v>
      </c>
      <c r="B694" s="1" t="str">
        <f>"9783527406531"</f>
        <v>9783527406531</v>
      </c>
      <c r="C694" s="1">
        <v>107.1</v>
      </c>
      <c r="D694" s="1" t="str">
        <f>"USD"</f>
        <v>USD</v>
      </c>
      <c r="E694" s="1" t="str">
        <f>"2010"</f>
        <v>2010</v>
      </c>
      <c r="F694" s="1" t="str">
        <f>"Kampen"</f>
        <v>Kampen</v>
      </c>
      <c r="G694" s="1" t="str">
        <f>"safirketab"</f>
        <v>safirketab</v>
      </c>
      <c r="J694" s="1"/>
    </row>
    <row r="695" spans="1:10" x14ac:dyDescent="0.2">
      <c r="A695" s="1" t="str">
        <f>"Low Temperature Materials and Mechanisms"</f>
        <v>Low Temperature Materials and Mechanisms</v>
      </c>
      <c r="B695" s="1" t="str">
        <f>"9781498700382"</f>
        <v>9781498700382</v>
      </c>
      <c r="C695" s="1">
        <v>107.73</v>
      </c>
      <c r="D695" s="1" t="str">
        <f>"GBP"</f>
        <v>GBP</v>
      </c>
      <c r="E695" s="1" t="str">
        <f>"2016"</f>
        <v>2016</v>
      </c>
      <c r="F695" s="1" t="str">
        <f>"Bar-Cohen"</f>
        <v>Bar-Cohen</v>
      </c>
      <c r="G695" s="1" t="str">
        <f>"sal"</f>
        <v>sal</v>
      </c>
      <c r="J695" s="1"/>
    </row>
    <row r="696" spans="1:10" x14ac:dyDescent="0.2">
      <c r="A696" s="1" t="str">
        <f>"LYAPUNOV EXPONENTS AND STABILITY, HB"</f>
        <v>LYAPUNOV EXPONENTS AND STABILITY, HB</v>
      </c>
      <c r="B696" s="1" t="str">
        <f>"9781908106254"</f>
        <v>9781908106254</v>
      </c>
      <c r="C696" s="1">
        <v>83.81</v>
      </c>
      <c r="D696" s="1" t="str">
        <f>"USD"</f>
        <v>USD</v>
      </c>
      <c r="E696" s="1" t="str">
        <f>"2012"</f>
        <v>2012</v>
      </c>
      <c r="F696" s="1" t="str">
        <f>"N.A. IZOBOV"</f>
        <v>N.A. IZOBOV</v>
      </c>
      <c r="G696" s="1" t="str">
        <f>"supply"</f>
        <v>supply</v>
      </c>
      <c r="J696" s="1"/>
    </row>
    <row r="697" spans="1:10" x14ac:dyDescent="0.2">
      <c r="A697" s="1" t="str">
        <f>"Lyotropic Chromonic Liquid Crystals: From Viscoelastic Properties to Living Liquid Crystals"</f>
        <v>Lyotropic Chromonic Liquid Crystals: From Viscoelastic Properties to Living Liquid Crystals</v>
      </c>
      <c r="B697" s="1" t="str">
        <f>"9783319528052"</f>
        <v>9783319528052</v>
      </c>
      <c r="C697" s="1">
        <v>89.99</v>
      </c>
      <c r="D697" s="1" t="str">
        <f>"EUR"</f>
        <v>EUR</v>
      </c>
      <c r="E697" s="1" t="str">
        <f>"2017"</f>
        <v>2017</v>
      </c>
      <c r="F697" s="1" t="str">
        <f>"Zhou"</f>
        <v>Zhou</v>
      </c>
      <c r="G697" s="1" t="str">
        <f>"negarestanabi"</f>
        <v>negarestanabi</v>
      </c>
      <c r="J697" s="1"/>
    </row>
    <row r="698" spans="1:10" x14ac:dyDescent="0.2">
      <c r="A698" s="1" t="str">
        <f>"M?ssbauer Effect in Lattice Dynamics: Experimental Techniques and Applications"</f>
        <v>M?ssbauer Effect in Lattice Dynamics: Experimental Techniques and Applications</v>
      </c>
      <c r="B698" s="1" t="str">
        <f>"9783527407125"</f>
        <v>9783527407125</v>
      </c>
      <c r="C698" s="1">
        <v>135</v>
      </c>
      <c r="D698" s="1" t="str">
        <f>"USD"</f>
        <v>USD</v>
      </c>
      <c r="E698" s="1" t="str">
        <f>"2007"</f>
        <v>2007</v>
      </c>
      <c r="F698" s="1" t="str">
        <f>"Chen"</f>
        <v>Chen</v>
      </c>
      <c r="G698" s="1" t="str">
        <f>"safirketab"</f>
        <v>safirketab</v>
      </c>
      <c r="J698" s="1"/>
    </row>
    <row r="699" spans="1:10" x14ac:dyDescent="0.2">
      <c r="A699" s="1" t="str">
        <f>"Machine Vision Algorithms and Applications,2e"</f>
        <v>Machine Vision Algorithms and Applications,2e</v>
      </c>
      <c r="B699" s="1" t="str">
        <f>"9783527413652"</f>
        <v>9783527413652</v>
      </c>
      <c r="C699" s="1">
        <v>85.5</v>
      </c>
      <c r="D699" s="1" t="str">
        <f>"USD"</f>
        <v>USD</v>
      </c>
      <c r="E699" s="1" t="str">
        <f>"2018"</f>
        <v>2018</v>
      </c>
      <c r="F699" s="1" t="str">
        <f>"Steger"</f>
        <v>Steger</v>
      </c>
      <c r="G699" s="1" t="str">
        <f>"avanddanesh"</f>
        <v>avanddanesh</v>
      </c>
      <c r="J699" s="1"/>
    </row>
    <row r="700" spans="1:10" x14ac:dyDescent="0.2">
      <c r="A700" s="1" t="str">
        <f>"Macroscopic Electrodynamics: An Introductory Graduate Treatment"</f>
        <v>Macroscopic Electrodynamics: An Introductory Graduate Treatment</v>
      </c>
      <c r="B700" s="1" t="str">
        <f>"9789814616621"</f>
        <v>9789814616621</v>
      </c>
      <c r="C700" s="1">
        <v>51.85</v>
      </c>
      <c r="D700" s="1" t="str">
        <f>"GBP"</f>
        <v>GBP</v>
      </c>
      <c r="E700" s="1" t="str">
        <f>"2015"</f>
        <v>2015</v>
      </c>
      <c r="F700" s="1" t="str">
        <f>"WALTER WILCOX,CHRIS"</f>
        <v>WALTER WILCOX,CHRIS</v>
      </c>
      <c r="G700" s="1" t="str">
        <f>"AsarBartar"</f>
        <v>AsarBartar</v>
      </c>
      <c r="J700" s="1"/>
    </row>
    <row r="701" spans="1:10" x14ac:dyDescent="0.2">
      <c r="A701" s="1" t="str">
        <f>"MAGNETIC AND MAGNETOELASTIC PROPERTIES OF ANTIFERROMAGNETS AND SUPERCONDUCTORS, PART 1,VOL. 23, PB"</f>
        <v>MAGNETIC AND MAGNETOELASTIC PROPERTIES OF ANTIFERROMAGNETS AND SUPERCONDUCTORS, PART 1,VOL. 23, PB</v>
      </c>
      <c r="B701" s="1" t="str">
        <f>"9781904868545"</f>
        <v>9781904868545</v>
      </c>
      <c r="C701" s="1">
        <v>24.5</v>
      </c>
      <c r="D701" s="1" t="str">
        <f>"GBP"</f>
        <v>GBP</v>
      </c>
      <c r="E701" s="1" t="str">
        <f>"2008"</f>
        <v>2008</v>
      </c>
      <c r="F701" s="1" t="str">
        <f>"Eremenko"</f>
        <v>Eremenko</v>
      </c>
      <c r="G701" s="1" t="str">
        <f>"supply"</f>
        <v>supply</v>
      </c>
      <c r="J701" s="1"/>
    </row>
    <row r="702" spans="1:10" x14ac:dyDescent="0.2">
      <c r="A702" s="1" t="str">
        <f>"Magnetic Resonance Force Microscopy And A Single-Spin Measurement"</f>
        <v>Magnetic Resonance Force Microscopy And A Single-Spin Measurement</v>
      </c>
      <c r="B702" s="1" t="str">
        <f>"9789812566935"</f>
        <v>9789812566935</v>
      </c>
      <c r="C702" s="1">
        <v>20</v>
      </c>
      <c r="D702" s="1" t="str">
        <f>"GBP"</f>
        <v>GBP</v>
      </c>
      <c r="E702" s="1" t="str">
        <f>"2006"</f>
        <v>2006</v>
      </c>
      <c r="F702" s="1" t="str">
        <f>"Berman Gennady"</f>
        <v>Berman Gennady</v>
      </c>
      <c r="G702" s="1" t="str">
        <f>"kowkab"</f>
        <v>kowkab</v>
      </c>
      <c r="J702" s="1"/>
    </row>
    <row r="703" spans="1:10" x14ac:dyDescent="0.2">
      <c r="A703" s="1" t="str">
        <f>"Magnetohydrodynamic Stability of Tokamaks"</f>
        <v>Magnetohydrodynamic Stability of Tokamaks</v>
      </c>
      <c r="B703" s="1" t="str">
        <f>"9783527412327"</f>
        <v>9783527412327</v>
      </c>
      <c r="C703" s="1">
        <v>116.3</v>
      </c>
      <c r="D703" s="1" t="str">
        <f>"USD"</f>
        <v>USD</v>
      </c>
      <c r="E703" s="1" t="str">
        <f>"2014"</f>
        <v>2014</v>
      </c>
      <c r="F703" s="1" t="str">
        <f>"Zohm"</f>
        <v>Zohm</v>
      </c>
      <c r="G703" s="1" t="str">
        <f>"avanddanesh"</f>
        <v>avanddanesh</v>
      </c>
      <c r="J703" s="1"/>
    </row>
    <row r="704" spans="1:10" x14ac:dyDescent="0.2">
      <c r="A704" s="1" t="str">
        <f>"Magnetohydrodynamics and Fluid Dynamics: Action Principles and Conservation Laws"</f>
        <v>Magnetohydrodynamics and Fluid Dynamics: Action Principles and Conservation Laws</v>
      </c>
      <c r="B704" s="1" t="str">
        <f>"9783319725109"</f>
        <v>9783319725109</v>
      </c>
      <c r="C704" s="1">
        <v>40.49</v>
      </c>
      <c r="D704" s="1" t="str">
        <f>"EUR"</f>
        <v>EUR</v>
      </c>
      <c r="E704" s="1" t="str">
        <f>"2018"</f>
        <v>2018</v>
      </c>
      <c r="F704" s="1" t="str">
        <f>"Webb"</f>
        <v>Webb</v>
      </c>
      <c r="G704" s="1" t="str">
        <f>"negarestanabi"</f>
        <v>negarestanabi</v>
      </c>
      <c r="J704" s="1"/>
    </row>
    <row r="705" spans="1:10" x14ac:dyDescent="0.2">
      <c r="A705" s="1" t="str">
        <f>"MAGNETOSTATISTICS, HB"</f>
        <v>MAGNETOSTATISTICS, HB</v>
      </c>
      <c r="B705" s="1" t="str">
        <f>"9788178845227"</f>
        <v>9788178845227</v>
      </c>
      <c r="C705" s="1">
        <v>9.8000000000000007</v>
      </c>
      <c r="D705" s="1" t="str">
        <f>"USD"</f>
        <v>USD</v>
      </c>
      <c r="E705" s="1" t="str">
        <f>"2009"</f>
        <v>2009</v>
      </c>
      <c r="F705" s="1" t="str">
        <f>"Aggarwal"</f>
        <v>Aggarwal</v>
      </c>
      <c r="G705" s="1" t="str">
        <f>"supply"</f>
        <v>supply</v>
      </c>
      <c r="J705" s="1"/>
    </row>
    <row r="706" spans="1:10" x14ac:dyDescent="0.2">
      <c r="A706" s="1" t="str">
        <f>"Markov Chain Aggregation for Agent-Based Models"</f>
        <v>Markov Chain Aggregation for Agent-Based Models</v>
      </c>
      <c r="B706" s="1" t="str">
        <f>"9783319248752"</f>
        <v>9783319248752</v>
      </c>
      <c r="C706" s="1">
        <v>62.99</v>
      </c>
      <c r="D706" s="1" t="str">
        <f>"EUR"</f>
        <v>EUR</v>
      </c>
      <c r="E706" s="1" t="str">
        <f>"2016"</f>
        <v>2016</v>
      </c>
      <c r="F706" s="1" t="str">
        <f>"Banisch"</f>
        <v>Banisch</v>
      </c>
      <c r="G706" s="1" t="str">
        <f>"negarestanabi"</f>
        <v>negarestanabi</v>
      </c>
      <c r="J706" s="1"/>
    </row>
    <row r="707" spans="1:10" x14ac:dyDescent="0.2">
      <c r="A707" s="1" t="str">
        <f>"MASS GAP AND ITS APPLICATIONS, THE"</f>
        <v>MASS GAP AND ITS APPLICATIONS, THE</v>
      </c>
      <c r="B707" s="1" t="str">
        <f>"9789814440707"</f>
        <v>9789814440707</v>
      </c>
      <c r="C707" s="1">
        <v>48.6</v>
      </c>
      <c r="D707" s="1" t="str">
        <f>"GBP"</f>
        <v>GBP</v>
      </c>
      <c r="E707" s="1" t="str">
        <f>"2013"</f>
        <v>2013</v>
      </c>
      <c r="F707" s="1" t="str">
        <f>"GOGOKHIA VAKHTANG &amp;"</f>
        <v>GOGOKHIA VAKHTANG &amp;</v>
      </c>
      <c r="G707" s="1" t="str">
        <f>"AsarBartar"</f>
        <v>AsarBartar</v>
      </c>
      <c r="J707" s="1"/>
    </row>
    <row r="708" spans="1:10" x14ac:dyDescent="0.2">
      <c r="A708" s="1" t="str">
        <f>"MASS GROWTH OF LARGE SINGLE CRYSTALS FOR PARTICLE, PB"</f>
        <v>MASS GROWTH OF LARGE SINGLE CRYSTALS FOR PARTICLE, PB</v>
      </c>
      <c r="B708" s="1" t="str">
        <f>"9781904602880"</f>
        <v>9781904602880</v>
      </c>
      <c r="C708" s="1">
        <v>101.5</v>
      </c>
      <c r="D708" s="1" t="str">
        <f>"USD"</f>
        <v>USD</v>
      </c>
      <c r="E708" s="1" t="str">
        <f>"2009"</f>
        <v>2009</v>
      </c>
      <c r="F708" s="1" t="str">
        <f>"Annenkov"</f>
        <v>Annenkov</v>
      </c>
      <c r="G708" s="1" t="str">
        <f>"supply"</f>
        <v>supply</v>
      </c>
      <c r="J708" s="1"/>
    </row>
    <row r="709" spans="1:10" x14ac:dyDescent="0.2">
      <c r="A709" s="1" t="str">
        <f>"Mass Transfer: Advanced Aspects, HB,          'NEW'"</f>
        <v>Mass Transfer: Advanced Aspects, HB,          'NEW'</v>
      </c>
      <c r="B709" s="1" t="str">
        <f>"9789533076362"</f>
        <v>9789533076362</v>
      </c>
      <c r="C709" s="1">
        <v>105</v>
      </c>
      <c r="D709" s="1" t="str">
        <f>"USD"</f>
        <v>USD</v>
      </c>
      <c r="E709" s="1" t="str">
        <f>"2014"</f>
        <v>2014</v>
      </c>
      <c r="F709" s="1" t="str">
        <f>"Nakajima H."</f>
        <v>Nakajima H.</v>
      </c>
      <c r="G709" s="1" t="str">
        <f>"supply"</f>
        <v>supply</v>
      </c>
      <c r="J709" s="1"/>
    </row>
    <row r="710" spans="1:10" x14ac:dyDescent="0.2">
      <c r="A710" s="1" t="str">
        <f>"Mathematical Analysis of Evolution, Information, and Complexity"</f>
        <v>Mathematical Analysis of Evolution, Information, and Complexity</v>
      </c>
      <c r="B710" s="1" t="str">
        <f>"9783527408306"</f>
        <v>9783527408306</v>
      </c>
      <c r="C710" s="1">
        <v>138.57</v>
      </c>
      <c r="D710" s="1" t="str">
        <f>"USD"</f>
        <v>USD</v>
      </c>
      <c r="E710" s="1" t="str">
        <f>"2009"</f>
        <v>2009</v>
      </c>
      <c r="F710" s="1" t="str">
        <f>"Arendt"</f>
        <v>Arendt</v>
      </c>
      <c r="G710" s="1" t="str">
        <f>"safirketab"</f>
        <v>safirketab</v>
      </c>
      <c r="J710" s="1"/>
    </row>
    <row r="711" spans="1:10" x14ac:dyDescent="0.2">
      <c r="A711" s="1" t="str">
        <f>"Mathematical Aspects of Quantum Field Theories"</f>
        <v>Mathematical Aspects of Quantum Field Theories</v>
      </c>
      <c r="B711" s="1" t="str">
        <f>"9783319099484"</f>
        <v>9783319099484</v>
      </c>
      <c r="C711" s="1">
        <v>85.49</v>
      </c>
      <c r="D711" s="1" t="str">
        <f>"EUR"</f>
        <v>EUR</v>
      </c>
      <c r="E711" s="1" t="str">
        <f>"2015"</f>
        <v>2015</v>
      </c>
      <c r="F711" s="1" t="str">
        <f>"Calaque"</f>
        <v>Calaque</v>
      </c>
      <c r="G711" s="1" t="str">
        <f>"negarestanabi"</f>
        <v>negarestanabi</v>
      </c>
      <c r="J711" s="1"/>
    </row>
    <row r="712" spans="1:10" x14ac:dyDescent="0.2">
      <c r="A712" s="1" t="str">
        <f>"MATHEMATICAL MECHANICS: FROM PARTICLE TO MUSCLE"</f>
        <v>MATHEMATICAL MECHANICS: FROM PARTICLE TO MUSCLE</v>
      </c>
      <c r="B712" s="1" t="str">
        <f>"9789814289702"</f>
        <v>9789814289702</v>
      </c>
      <c r="C712" s="1">
        <v>14.4</v>
      </c>
      <c r="D712" s="1" t="str">
        <f>"GBP"</f>
        <v>GBP</v>
      </c>
      <c r="E712" s="1" t="str">
        <f>"2011"</f>
        <v>2011</v>
      </c>
      <c r="F712" s="1" t="str">
        <f>"COOPER ELLIS D"</f>
        <v>COOPER ELLIS D</v>
      </c>
      <c r="G712" s="1" t="str">
        <f>"AsarBartar"</f>
        <v>AsarBartar</v>
      </c>
      <c r="J712" s="1"/>
    </row>
    <row r="713" spans="1:10" x14ac:dyDescent="0.2">
      <c r="A713" s="1" t="str">
        <f>"Mathematical Modeling and Simulation: Introduction for Scientists and Engineers"</f>
        <v>Mathematical Modeling and Simulation: Introduction for Scientists and Engineers</v>
      </c>
      <c r="B713" s="1" t="str">
        <f>"9783527407583"</f>
        <v>9783527407583</v>
      </c>
      <c r="C713" s="1">
        <v>94.5</v>
      </c>
      <c r="D713" s="1" t="str">
        <f>"USD"</f>
        <v>USD</v>
      </c>
      <c r="E713" s="1" t="str">
        <f>"2009"</f>
        <v>2009</v>
      </c>
      <c r="F713" s="1" t="str">
        <f>"Velten"</f>
        <v>Velten</v>
      </c>
      <c r="G713" s="1" t="str">
        <f>"safirketab"</f>
        <v>safirketab</v>
      </c>
      <c r="J713" s="1"/>
    </row>
    <row r="714" spans="1:10" x14ac:dyDescent="0.2">
      <c r="A714" s="1" t="str">
        <f>"Mathematical Modelling of Wave Phenomena"</f>
        <v>Mathematical Modelling of Wave Phenomena</v>
      </c>
      <c r="B714" s="1" t="str">
        <f>"9780735403253"</f>
        <v>9780735403253</v>
      </c>
      <c r="C714" s="1">
        <v>149.71</v>
      </c>
      <c r="D714" s="1" t="str">
        <f>"USD"</f>
        <v>USD</v>
      </c>
      <c r="E714" s="1" t="str">
        <f>"2006"</f>
        <v>2006</v>
      </c>
      <c r="F714" s="1" t="str">
        <f>"Nilsson,B.(Eds)"</f>
        <v>Nilsson,B.(Eds)</v>
      </c>
      <c r="G714" s="1" t="str">
        <f>"safirketab"</f>
        <v>safirketab</v>
      </c>
      <c r="J714" s="1"/>
    </row>
    <row r="715" spans="1:10" x14ac:dyDescent="0.2">
      <c r="A715" s="1" t="str">
        <f>"Mathematical Theory of Elasticity of Quasicrystals and Its Applications. 2/ed"</f>
        <v>Mathematical Theory of Elasticity of Quasicrystals and Its Applications. 2/ed</v>
      </c>
      <c r="B715" s="1" t="str">
        <f>"9789811019821"</f>
        <v>9789811019821</v>
      </c>
      <c r="C715" s="1">
        <v>152.99</v>
      </c>
      <c r="D715" s="1" t="str">
        <f>"EUR"</f>
        <v>EUR</v>
      </c>
      <c r="E715" s="1" t="str">
        <f>"2016"</f>
        <v>2016</v>
      </c>
      <c r="F715" s="1" t="str">
        <f>"Fan"</f>
        <v>Fan</v>
      </c>
      <c r="G715" s="1" t="str">
        <f>"negarestanabi"</f>
        <v>negarestanabi</v>
      </c>
      <c r="J715" s="1"/>
    </row>
    <row r="716" spans="1:10" x14ac:dyDescent="0.2">
      <c r="A716" s="1" t="str">
        <f>"MATHEMATICS FOR PHYSICS: AN ILLUSTRATED HANDBOOK"</f>
        <v>MATHEMATICS FOR PHYSICS: AN ILLUSTRATED HANDBOOK</v>
      </c>
      <c r="B716" s="1" t="str">
        <f>"9789813233911"</f>
        <v>9789813233911</v>
      </c>
      <c r="C716" s="1">
        <v>77.400000000000006</v>
      </c>
      <c r="D716" s="1" t="str">
        <f>"GBP"</f>
        <v>GBP</v>
      </c>
      <c r="E716" s="1" t="str">
        <f>"2018"</f>
        <v>2018</v>
      </c>
      <c r="F716" s="1" t="str">
        <f>"ADAM MARSH"</f>
        <v>ADAM MARSH</v>
      </c>
      <c r="G716" s="1" t="str">
        <f>"AsarBartar"</f>
        <v>AsarBartar</v>
      </c>
      <c r="J716" s="1"/>
    </row>
    <row r="717" spans="1:10" x14ac:dyDescent="0.2">
      <c r="A717" s="1" t="str">
        <f>"Mathematics for the Physical Sciences"</f>
        <v>Mathematics for the Physical Sciences</v>
      </c>
      <c r="B717" s="1" t="str">
        <f>"9783110409451"</f>
        <v>9783110409451</v>
      </c>
      <c r="C717" s="1">
        <v>85</v>
      </c>
      <c r="D717" s="1" t="str">
        <f>"EUR"</f>
        <v>EUR</v>
      </c>
      <c r="E717" s="1" t="str">
        <f>"2015"</f>
        <v>2015</v>
      </c>
      <c r="F717" s="1" t="str">
        <f>"Leslie Copley"</f>
        <v>Leslie Copley</v>
      </c>
      <c r="G717" s="1" t="str">
        <f>"AsarBartar"</f>
        <v>AsarBartar</v>
      </c>
      <c r="J717" s="1"/>
    </row>
    <row r="718" spans="1:10" x14ac:dyDescent="0.2">
      <c r="A718" s="1" t="str">
        <f>"Mathematics of Geometrical and Physical Optics: The k-function and its Ramifications"</f>
        <v>Mathematics of Geometrical and Physical Optics: The k-function and its Ramifications</v>
      </c>
      <c r="B718" s="1" t="str">
        <f>"9783527404483"</f>
        <v>9783527404483</v>
      </c>
      <c r="C718" s="1">
        <v>114</v>
      </c>
      <c r="D718" s="1" t="str">
        <f>"USD"</f>
        <v>USD</v>
      </c>
      <c r="E718" s="1" t="str">
        <f>"2006"</f>
        <v>2006</v>
      </c>
      <c r="F718" s="1" t="str">
        <f>"Stavroudis"</f>
        <v>Stavroudis</v>
      </c>
      <c r="G718" s="1" t="str">
        <f>"safirketab"</f>
        <v>safirketab</v>
      </c>
      <c r="J718" s="1"/>
    </row>
    <row r="719" spans="1:10" x14ac:dyDescent="0.2">
      <c r="A719" s="1" t="str">
        <f>"Matrix Equations, Spectral Problems And Stability Of Dynamic Systems, Vol. 2, HB"</f>
        <v>Matrix Equations, Spectral Problems And Stability Of Dynamic Systems, Vol. 2, HB</v>
      </c>
      <c r="B719" s="1" t="str">
        <f>"9781904868521"</f>
        <v>9781904868521</v>
      </c>
      <c r="C719" s="1">
        <v>38.5</v>
      </c>
      <c r="D719" s="1" t="str">
        <f>"GBP"</f>
        <v>GBP</v>
      </c>
      <c r="E719" s="1" t="str">
        <f>"2008"</f>
        <v>2008</v>
      </c>
      <c r="F719" s="1" t="str">
        <f>"Mazko"</f>
        <v>Mazko</v>
      </c>
      <c r="G719" s="1" t="str">
        <f>"supply"</f>
        <v>supply</v>
      </c>
      <c r="J719" s="1"/>
    </row>
    <row r="720" spans="1:10" x14ac:dyDescent="0.2">
      <c r="A720" s="1" t="str">
        <f>"Matter and Interactions I:Modern Mechanics 2e"</f>
        <v>Matter and Interactions I:Modern Mechanics 2e</v>
      </c>
      <c r="B720" s="1" t="str">
        <f>"9780470108307"</f>
        <v>9780470108307</v>
      </c>
      <c r="C720" s="1">
        <v>25.2</v>
      </c>
      <c r="D720" s="1" t="str">
        <f>"USD"</f>
        <v>USD</v>
      </c>
      <c r="E720" s="1" t="str">
        <f>"2007"</f>
        <v>2007</v>
      </c>
      <c r="F720" s="1" t="str">
        <f>"Chabay"</f>
        <v>Chabay</v>
      </c>
      <c r="G720" s="1" t="str">
        <f>"safirketab"</f>
        <v>safirketab</v>
      </c>
      <c r="J720" s="1"/>
    </row>
    <row r="721" spans="1:10" x14ac:dyDescent="0.2">
      <c r="A721" s="1" t="str">
        <f>"Matter and Interactions II:Electric and Magnetic"</f>
        <v>Matter and Interactions II:Electric and Magnetic</v>
      </c>
      <c r="B721" s="1" t="str">
        <f>"9780470108314"</f>
        <v>9780470108314</v>
      </c>
      <c r="C721" s="1">
        <v>25.2</v>
      </c>
      <c r="D721" s="1" t="str">
        <f>"USD"</f>
        <v>USD</v>
      </c>
      <c r="E721" s="1" t="str">
        <f>"2007"</f>
        <v>2007</v>
      </c>
      <c r="F721" s="1" t="str">
        <f>"Chabay"</f>
        <v>Chabay</v>
      </c>
      <c r="G721" s="1" t="str">
        <f>"safirketab"</f>
        <v>safirketab</v>
      </c>
      <c r="J721" s="1"/>
    </row>
    <row r="722" spans="1:10" x14ac:dyDescent="0.2">
      <c r="A722" s="1" t="str">
        <f>"Matter of Density: Exploring the Electron Density Concept in the Chemical, Biological, and Materials Sciences"</f>
        <v>Matter of Density: Exploring the Electron Density Concept in the Chemical, Biological, and Materials Sciences</v>
      </c>
      <c r="B722" s="1" t="str">
        <f>"9780470769003"</f>
        <v>9780470769003</v>
      </c>
      <c r="C722" s="1">
        <v>82.2</v>
      </c>
      <c r="D722" s="1" t="str">
        <f>"USD"</f>
        <v>USD</v>
      </c>
      <c r="E722" s="1" t="str">
        <f>"2012"</f>
        <v>2012</v>
      </c>
      <c r="F722" s="1" t="str">
        <f>"Sukumar"</f>
        <v>Sukumar</v>
      </c>
      <c r="G722" s="1" t="str">
        <f>"avanddanesh"</f>
        <v>avanddanesh</v>
      </c>
      <c r="J722" s="1"/>
    </row>
    <row r="723" spans="1:10" x14ac:dyDescent="0.2">
      <c r="A723" s="1" t="str">
        <f>"Measuring Fuel Poverty"</f>
        <v>Measuring Fuel Poverty</v>
      </c>
      <c r="B723" s="1" t="str">
        <f>"9781848064416"</f>
        <v>9781848064416</v>
      </c>
      <c r="C723" s="1">
        <v>23.8</v>
      </c>
      <c r="D723" s="1" t="str">
        <f>"GBP"</f>
        <v>GBP</v>
      </c>
      <c r="E723" s="1" t="str">
        <f>"2016"</f>
        <v>2016</v>
      </c>
      <c r="F723" s="1" t="str">
        <f>"Claire Summer Jack"</f>
        <v>Claire Summer Jack</v>
      </c>
      <c r="G723" s="1" t="str">
        <f>"AsarBartar"</f>
        <v>AsarBartar</v>
      </c>
      <c r="J723" s="1"/>
    </row>
    <row r="724" spans="1:10" x14ac:dyDescent="0.2">
      <c r="A724" s="1" t="str">
        <f>"Mechanical and Electromagnetic Vibrations and Waves"</f>
        <v>Mechanical and Electromagnetic Vibrations and Waves</v>
      </c>
      <c r="B724" s="1" t="str">
        <f>"9781848212831"</f>
        <v>9781848212831</v>
      </c>
      <c r="C724" s="1">
        <v>78.8</v>
      </c>
      <c r="D724" s="1" t="str">
        <f>"USD"</f>
        <v>USD</v>
      </c>
      <c r="E724" s="1" t="str">
        <f>"2011"</f>
        <v>2011</v>
      </c>
      <c r="F724" s="1" t="str">
        <f>"BÃ©cherrawy"</f>
        <v>BÃ©cherrawy</v>
      </c>
      <c r="G724" s="1" t="str">
        <f>"avanddanesh"</f>
        <v>avanddanesh</v>
      </c>
      <c r="J724" s="1"/>
    </row>
    <row r="725" spans="1:10" x14ac:dyDescent="0.2">
      <c r="A725" s="1" t="str">
        <f>"Mechanical Properties and Performance of Engineering Ceramics and Composites X"</f>
        <v>Mechanical Properties and Performance of Engineering Ceramics and Composites X</v>
      </c>
      <c r="B725" s="1" t="str">
        <f>"9781119211280"</f>
        <v>9781119211280</v>
      </c>
      <c r="C725" s="1">
        <v>170</v>
      </c>
      <c r="D725" s="1" t="str">
        <f>"USD"</f>
        <v>USD</v>
      </c>
      <c r="E725" s="1" t="str">
        <f>"2016"</f>
        <v>2016</v>
      </c>
      <c r="F725" s="1" t="str">
        <f>"Singh"</f>
        <v>Singh</v>
      </c>
      <c r="G725" s="1" t="str">
        <f>"avanddanesh"</f>
        <v>avanddanesh</v>
      </c>
      <c r="J725" s="1"/>
    </row>
    <row r="726" spans="1:10" x14ac:dyDescent="0.2">
      <c r="A726" s="1" t="str">
        <f>"Mechanics and Thermodynamics"</f>
        <v>Mechanics and Thermodynamics</v>
      </c>
      <c r="B726" s="1" t="str">
        <f>"9783319278759"</f>
        <v>9783319278759</v>
      </c>
      <c r="C726" s="1">
        <v>71.989999999999995</v>
      </c>
      <c r="D726" s="1" t="str">
        <f>"EUR"</f>
        <v>EUR</v>
      </c>
      <c r="E726" s="1" t="str">
        <f>"2017"</f>
        <v>2017</v>
      </c>
      <c r="F726" s="1" t="str">
        <f>"DemtrÃ¶der"</f>
        <v>DemtrÃ¶der</v>
      </c>
      <c r="G726" s="1" t="str">
        <f>"negarestanabi"</f>
        <v>negarestanabi</v>
      </c>
      <c r="J726" s="1"/>
    </row>
    <row r="727" spans="1:10" x14ac:dyDescent="0.2">
      <c r="A727" s="1" t="str">
        <f>"MECHANICS OF REAL FLUIDS, HB"</f>
        <v>MECHANICS OF REAL FLUIDS, HB</v>
      </c>
      <c r="B727" s="1" t="str">
        <f>"9781845645021"</f>
        <v>9781845645021</v>
      </c>
      <c r="C727" s="1">
        <v>67.900000000000006</v>
      </c>
      <c r="D727" s="1" t="str">
        <f>"GBP"</f>
        <v>GBP</v>
      </c>
      <c r="E727" s="1" t="str">
        <f>"2011"</f>
        <v>2011</v>
      </c>
      <c r="F727" s="1" t="str">
        <f>"Rahman"</f>
        <v>Rahman</v>
      </c>
      <c r="G727" s="1" t="str">
        <f>"supply"</f>
        <v>supply</v>
      </c>
      <c r="J727" s="1"/>
    </row>
    <row r="728" spans="1:10" x14ac:dyDescent="0.2">
      <c r="A728" s="1" t="str">
        <f>"Mechanics of Solids, 2nd ed"</f>
        <v>Mechanics of Solids, 2nd ed</v>
      </c>
      <c r="B728" s="1" t="str">
        <f>"9781138904675"</f>
        <v>9781138904675</v>
      </c>
      <c r="C728" s="1">
        <v>49.5</v>
      </c>
      <c r="D728" s="1" t="str">
        <f>"GBP"</f>
        <v>GBP</v>
      </c>
      <c r="E728" s="1" t="str">
        <f>"2016"</f>
        <v>2016</v>
      </c>
      <c r="F728" s="1" t="str">
        <f>"ROSS"</f>
        <v>ROSS</v>
      </c>
      <c r="G728" s="1" t="str">
        <f>"sal"</f>
        <v>sal</v>
      </c>
      <c r="J728" s="1"/>
    </row>
    <row r="729" spans="1:10" x14ac:dyDescent="0.2">
      <c r="A729" s="1" t="str">
        <f>"MEMORIAL VOLUME FOR YI-SHI DUAN"</f>
        <v>MEMORIAL VOLUME FOR YI-SHI DUAN</v>
      </c>
      <c r="B729" s="1" t="str">
        <f>"9789813237261"</f>
        <v>9789813237261</v>
      </c>
      <c r="C729" s="1">
        <v>101.7</v>
      </c>
      <c r="D729" s="1" t="str">
        <f>"GBP"</f>
        <v>GBP</v>
      </c>
      <c r="E729" s="1" t="str">
        <f>"2018"</f>
        <v>2018</v>
      </c>
      <c r="F729" s="1" t="str">
        <f>"GE MO-LIN ET AL"</f>
        <v>GE MO-LIN ET AL</v>
      </c>
      <c r="G729" s="1" t="str">
        <f>"AsarBartar"</f>
        <v>AsarBartar</v>
      </c>
      <c r="J729" s="1"/>
    </row>
    <row r="730" spans="1:10" x14ac:dyDescent="0.2">
      <c r="A730" s="1" t="str">
        <f>"Metal Chalcogenide Nanostructures for Renewable Energy Applications"</f>
        <v>Metal Chalcogenide Nanostructures for Renewable Energy Applications</v>
      </c>
      <c r="B730" s="1" t="str">
        <f>"9781118237915"</f>
        <v>9781118237915</v>
      </c>
      <c r="C730" s="1">
        <v>160.80000000000001</v>
      </c>
      <c r="D730" s="1" t="str">
        <f>"USD"</f>
        <v>USD</v>
      </c>
      <c r="E730" s="1" t="str">
        <f>"2015"</f>
        <v>2015</v>
      </c>
      <c r="F730" s="1" t="str">
        <f>"Qurashi"</f>
        <v>Qurashi</v>
      </c>
      <c r="G730" s="1" t="str">
        <f>"avanddanesh"</f>
        <v>avanddanesh</v>
      </c>
      <c r="J730" s="1"/>
    </row>
    <row r="731" spans="1:10" x14ac:dyDescent="0.2">
      <c r="A731" s="1" t="str">
        <f>"Metamaterials for Perfect Absorption"</f>
        <v>Metamaterials for Perfect Absorption</v>
      </c>
      <c r="B731" s="1" t="str">
        <f>"9789811001031"</f>
        <v>9789811001031</v>
      </c>
      <c r="C731" s="1">
        <v>89.99</v>
      </c>
      <c r="D731" s="1" t="str">
        <f>"EUR"</f>
        <v>EUR</v>
      </c>
      <c r="E731" s="1" t="str">
        <f>"2016"</f>
        <v>2016</v>
      </c>
      <c r="F731" s="1" t="str">
        <f>"Lee"</f>
        <v>Lee</v>
      </c>
      <c r="G731" s="1" t="str">
        <f>"negarestanabi"</f>
        <v>negarestanabi</v>
      </c>
      <c r="J731" s="1"/>
    </row>
    <row r="732" spans="1:10" x14ac:dyDescent="0.2">
      <c r="A732" s="1" t="str">
        <f>"Meteorites, Comets, and Planets (Treatise on Geochemistry) (Paperback)"</f>
        <v>Meteorites, Comets, and Planets (Treatise on Geochemistry) (Paperback)</v>
      </c>
      <c r="B732" s="1" t="str">
        <f>"9780080447209"</f>
        <v>9780080447209</v>
      </c>
      <c r="C732" s="1">
        <v>57.71</v>
      </c>
      <c r="D732" s="1" t="str">
        <f>"USD"</f>
        <v>USD</v>
      </c>
      <c r="E732" s="1" t="str">
        <f>"2005"</f>
        <v>2005</v>
      </c>
      <c r="F732" s="1" t="str">
        <f>"A.M. Davis"</f>
        <v>A.M. Davis</v>
      </c>
      <c r="G732" s="1" t="str">
        <f>"safirketab"</f>
        <v>safirketab</v>
      </c>
      <c r="J732" s="1"/>
    </row>
    <row r="733" spans="1:10" x14ac:dyDescent="0.2">
      <c r="A733" s="1" t="str">
        <f>"Micro- and Nanophotonic Technologies"</f>
        <v>Micro- and Nanophotonic Technologies</v>
      </c>
      <c r="B733" s="1" t="str">
        <f>"9783527340378"</f>
        <v>9783527340378</v>
      </c>
      <c r="C733" s="1">
        <v>162</v>
      </c>
      <c r="D733" s="1" t="str">
        <f>"USD"</f>
        <v>USD</v>
      </c>
      <c r="E733" s="1" t="str">
        <f>"2017"</f>
        <v>2017</v>
      </c>
      <c r="F733" s="1" t="str">
        <f>"Meyrueis"</f>
        <v>Meyrueis</v>
      </c>
      <c r="G733" s="1" t="str">
        <f>"avanddanesh"</f>
        <v>avanddanesh</v>
      </c>
      <c r="J733" s="1"/>
    </row>
    <row r="734" spans="1:10" x14ac:dyDescent="0.2">
      <c r="A734" s="1" t="str">
        <f>"Micromachined Thin-Film Sensors for SOI-CMOS Co-Integra"</f>
        <v>Micromachined Thin-Film Sensors for SOI-CMOS Co-Integra</v>
      </c>
      <c r="B734" s="1" t="str">
        <f>"9780387288420"</f>
        <v>9780387288420</v>
      </c>
      <c r="C734" s="1">
        <v>91.99</v>
      </c>
      <c r="D734" s="1" t="str">
        <f>"USD"</f>
        <v>USD</v>
      </c>
      <c r="E734" s="1" t="str">
        <f>"2006"</f>
        <v>2006</v>
      </c>
      <c r="F734" s="1" t="str">
        <f>"Laconte,J."</f>
        <v>Laconte,J.</v>
      </c>
      <c r="G734" s="1" t="str">
        <f>"safirketab"</f>
        <v>safirketab</v>
      </c>
      <c r="J734" s="1"/>
    </row>
    <row r="735" spans="1:10" x14ac:dyDescent="0.2">
      <c r="A735" s="1" t="str">
        <f>"Microphysics of Atmospheric Phenomena"</f>
        <v>Microphysics of Atmospheric Phenomena</v>
      </c>
      <c r="B735" s="1" t="str">
        <f>"9783319308128"</f>
        <v>9783319308128</v>
      </c>
      <c r="C735" s="1">
        <v>107.99</v>
      </c>
      <c r="D735" s="1" t="str">
        <f>"EUR"</f>
        <v>EUR</v>
      </c>
      <c r="E735" s="1" t="str">
        <f>"2017"</f>
        <v>2017</v>
      </c>
      <c r="F735" s="1" t="str">
        <f>"Smirnov"</f>
        <v>Smirnov</v>
      </c>
      <c r="G735" s="1" t="str">
        <f>"negarestanabi"</f>
        <v>negarestanabi</v>
      </c>
      <c r="J735" s="1"/>
    </row>
    <row r="736" spans="1:10" x14ac:dyDescent="0.2">
      <c r="A736" s="1" t="str">
        <f>"Microwave Engineering of Nanomaterials: From Mesoscale to Nanoscale"</f>
        <v>Microwave Engineering of Nanomaterials: From Mesoscale to Nanoscale</v>
      </c>
      <c r="B736" s="1" t="str">
        <f>"9789814669429"</f>
        <v>9789814669429</v>
      </c>
      <c r="C736" s="1">
        <v>109.8</v>
      </c>
      <c r="D736" s="1" t="str">
        <f>"GBP"</f>
        <v>GBP</v>
      </c>
      <c r="E736" s="1" t="str">
        <f>"2016"</f>
        <v>2016</v>
      </c>
      <c r="F736" s="1" t="str">
        <f>"Guenin"</f>
        <v>Guenin</v>
      </c>
      <c r="G736" s="1" t="str">
        <f>"sal"</f>
        <v>sal</v>
      </c>
      <c r="J736" s="1"/>
    </row>
    <row r="737" spans="1:10" x14ac:dyDescent="0.2">
      <c r="A737" s="1" t="str">
        <f>"Microwave Engineering, 2/ed"</f>
        <v>Microwave Engineering, 2/ed</v>
      </c>
      <c r="B737" s="1" t="str">
        <f>"9788120351592"</f>
        <v>9788120351592</v>
      </c>
      <c r="C737" s="1">
        <v>12.37</v>
      </c>
      <c r="D737" s="1" t="str">
        <f>"USD"</f>
        <v>USD</v>
      </c>
      <c r="E737" s="1" t="str">
        <f>"2016"</f>
        <v>2016</v>
      </c>
      <c r="F737" s="1" t="str">
        <f>"Rao"</f>
        <v>Rao</v>
      </c>
      <c r="G737" s="1" t="str">
        <f>"negarestanabi"</f>
        <v>negarestanabi</v>
      </c>
      <c r="J737" s="1"/>
    </row>
    <row r="738" spans="1:10" x14ac:dyDescent="0.2">
      <c r="A738" s="1" t="str">
        <f>"Model Reduction and Coarse-Graining Approaches for Multiscale Phenomena"</f>
        <v>Model Reduction and Coarse-Graining Approaches for Multiscale Phenomena</v>
      </c>
      <c r="B738" s="1" t="str">
        <f>"9783540358855"</f>
        <v>9783540358855</v>
      </c>
      <c r="C738" s="1">
        <v>115.99</v>
      </c>
      <c r="D738" s="1" t="str">
        <f>"USD"</f>
        <v>USD</v>
      </c>
      <c r="E738" s="1" t="str">
        <f>"2006"</f>
        <v>2006</v>
      </c>
      <c r="F738" s="1" t="str">
        <f>"Gorban,A.(Eds)"</f>
        <v>Gorban,A.(Eds)</v>
      </c>
      <c r="G738" s="1" t="str">
        <f>"safirketab"</f>
        <v>safirketab</v>
      </c>
      <c r="J738" s="1"/>
    </row>
    <row r="739" spans="1:10" x14ac:dyDescent="0.2">
      <c r="A739" s="1" t="str">
        <f>"Modeling Black Hole Evaporation"</f>
        <v>Modeling Black Hole Evaporation</v>
      </c>
      <c r="B739" s="1" t="str">
        <f>"9781860945274"</f>
        <v>9781860945274</v>
      </c>
      <c r="C739" s="1">
        <v>34</v>
      </c>
      <c r="D739" s="1" t="str">
        <f>"GBP"</f>
        <v>GBP</v>
      </c>
      <c r="E739" s="1" t="str">
        <f>"2005"</f>
        <v>2005</v>
      </c>
      <c r="F739" s="1" t="str">
        <f>"Fabbri Alessand"</f>
        <v>Fabbri Alessand</v>
      </c>
      <c r="G739" s="1" t="str">
        <f>"kowkab"</f>
        <v>kowkab</v>
      </c>
      <c r="J739" s="1"/>
    </row>
    <row r="740" spans="1:10" x14ac:dyDescent="0.2">
      <c r="A740" s="1" t="str">
        <f>"Models of Agglomeration And Glass Transition"</f>
        <v>Models of Agglomeration And Glass Transition</v>
      </c>
      <c r="B740" s="1" t="str">
        <f>"9781860947568"</f>
        <v>9781860947568</v>
      </c>
      <c r="C740" s="1">
        <v>32</v>
      </c>
      <c r="D740" s="1" t="str">
        <f>"GBP"</f>
        <v>GBP</v>
      </c>
      <c r="E740" s="1" t="str">
        <f>"2006"</f>
        <v>2006</v>
      </c>
      <c r="F740" s="1" t="str">
        <f>"Kerner Richard"</f>
        <v>Kerner Richard</v>
      </c>
      <c r="G740" s="1" t="str">
        <f>"kowkab"</f>
        <v>kowkab</v>
      </c>
      <c r="J740" s="1"/>
    </row>
    <row r="741" spans="1:10" x14ac:dyDescent="0.2">
      <c r="A741" s="1" t="str">
        <f>"Modern Biophysical Chemistry: Detection and Analysis of Biomolecules,2e"</f>
        <v>Modern Biophysical Chemistry: Detection and Analysis of Biomolecules,2e</v>
      </c>
      <c r="B741" s="1" t="str">
        <f>"9783527337736"</f>
        <v>9783527337736</v>
      </c>
      <c r="C741" s="1">
        <v>60</v>
      </c>
      <c r="D741" s="1" t="str">
        <f>"USD"</f>
        <v>USD</v>
      </c>
      <c r="E741" s="1" t="str">
        <f>"2014"</f>
        <v>2014</v>
      </c>
      <c r="F741" s="1" t="str">
        <f>"Walla"</f>
        <v>Walla</v>
      </c>
      <c r="G741" s="1" t="str">
        <f>"avanddanesh"</f>
        <v>avanddanesh</v>
      </c>
      <c r="J741" s="1"/>
    </row>
    <row r="742" spans="1:10" x14ac:dyDescent="0.2">
      <c r="A742" s="1" t="str">
        <f>"Modern Devices: The Simple Physics of Sophisticated Technology"</f>
        <v>Modern Devices: The Simple Physics of Sophisticated Technology</v>
      </c>
      <c r="B742" s="1" t="str">
        <f>"9780470900437"</f>
        <v>9780470900437</v>
      </c>
      <c r="C742" s="1">
        <v>114.8</v>
      </c>
      <c r="D742" s="1" t="str">
        <f>"USD"</f>
        <v>USD</v>
      </c>
      <c r="E742" s="1" t="str">
        <f>"2016"</f>
        <v>2016</v>
      </c>
      <c r="F742" s="1" t="str">
        <f>"Joseph"</f>
        <v>Joseph</v>
      </c>
      <c r="G742" s="1" t="str">
        <f>"avanddanesh"</f>
        <v>avanddanesh</v>
      </c>
      <c r="J742" s="1"/>
    </row>
    <row r="743" spans="1:10" x14ac:dyDescent="0.2">
      <c r="A743" s="1" t="str">
        <f>"Modern Elementary Particle Physics : Explaining and Extending the Standard Model"</f>
        <v>Modern Elementary Particle Physics : Explaining and Extending the Standard Model</v>
      </c>
      <c r="B743" s="1" t="str">
        <f>"9781107165083"</f>
        <v>9781107165083</v>
      </c>
      <c r="C743" s="1">
        <v>38.299999999999997</v>
      </c>
      <c r="D743" s="1" t="str">
        <f>"GBP"</f>
        <v>GBP</v>
      </c>
      <c r="E743" s="1" t="str">
        <f>"2017"</f>
        <v>2017</v>
      </c>
      <c r="F743" s="1" t="str">
        <f>"Kane"</f>
        <v>Kane</v>
      </c>
      <c r="G743" s="1" t="str">
        <f>"arzinbooks"</f>
        <v>arzinbooks</v>
      </c>
      <c r="J743" s="1"/>
    </row>
    <row r="744" spans="1:10" x14ac:dyDescent="0.2">
      <c r="A744" s="1" t="str">
        <f>"Modern Glass Characterization"</f>
        <v>Modern Glass Characterization</v>
      </c>
      <c r="B744" s="1" t="str">
        <f>"9781118230862"</f>
        <v>9781118230862</v>
      </c>
      <c r="C744" s="1">
        <v>140</v>
      </c>
      <c r="D744" s="1" t="str">
        <f>"USD"</f>
        <v>USD</v>
      </c>
      <c r="E744" s="1" t="str">
        <f>"2015"</f>
        <v>2015</v>
      </c>
      <c r="F744" s="1" t="str">
        <f>"Affatigato"</f>
        <v>Affatigato</v>
      </c>
      <c r="G744" s="1" t="str">
        <f>"avanddanesh"</f>
        <v>avanddanesh</v>
      </c>
      <c r="J744" s="1"/>
    </row>
    <row r="745" spans="1:10" x14ac:dyDescent="0.2">
      <c r="A745" s="1" t="str">
        <f>"Modern Methods in Collisional-Radiative Modeling of Plasmas"</f>
        <v>Modern Methods in Collisional-Radiative Modeling of Plasmas</v>
      </c>
      <c r="B745" s="1" t="str">
        <f>"9783319275123"</f>
        <v>9783319275123</v>
      </c>
      <c r="C745" s="1">
        <v>116.99</v>
      </c>
      <c r="D745" s="1" t="str">
        <f>"EUR"</f>
        <v>EUR</v>
      </c>
      <c r="E745" s="1" t="str">
        <f>"2016"</f>
        <v>2016</v>
      </c>
      <c r="F745" s="1" t="str">
        <f>"Ralchenko"</f>
        <v>Ralchenko</v>
      </c>
      <c r="G745" s="1" t="str">
        <f>"negarestanabi"</f>
        <v>negarestanabi</v>
      </c>
      <c r="J745" s="1"/>
    </row>
    <row r="746" spans="1:10" x14ac:dyDescent="0.2">
      <c r="A746" s="1" t="str">
        <f>"Modern Nuclear Chemistry,2e"</f>
        <v>Modern Nuclear Chemistry,2e</v>
      </c>
      <c r="B746" s="1" t="str">
        <f>"9780470906736"</f>
        <v>9780470906736</v>
      </c>
      <c r="C746" s="1">
        <v>157.5</v>
      </c>
      <c r="D746" s="1" t="str">
        <f>"USD"</f>
        <v>USD</v>
      </c>
      <c r="E746" s="1" t="str">
        <f>"2017"</f>
        <v>2017</v>
      </c>
      <c r="F746" s="1" t="str">
        <f>"Loveland"</f>
        <v>Loveland</v>
      </c>
      <c r="G746" s="1" t="str">
        <f>"avanddanesh"</f>
        <v>avanddanesh</v>
      </c>
      <c r="J746" s="1"/>
    </row>
    <row r="747" spans="1:10" x14ac:dyDescent="0.2">
      <c r="A747" s="1" t="str">
        <f>"Modern Physics"</f>
        <v>Modern Physics</v>
      </c>
      <c r="B747" s="1" t="str">
        <f>"9788120325975"</f>
        <v>9788120325975</v>
      </c>
      <c r="C747" s="1">
        <v>9.35</v>
      </c>
      <c r="D747" s="1" t="str">
        <f>"USD"</f>
        <v>USD</v>
      </c>
      <c r="E747" s="1" t="str">
        <f>"2016"</f>
        <v>2016</v>
      </c>
      <c r="F747" s="1" t="str">
        <f>"Aruldhas"</f>
        <v>Aruldhas</v>
      </c>
      <c r="G747" s="1" t="str">
        <f>"safirketab"</f>
        <v>safirketab</v>
      </c>
      <c r="J747" s="1"/>
    </row>
    <row r="748" spans="1:10" x14ac:dyDescent="0.2">
      <c r="A748" s="1" t="str">
        <f>"Modern Physics"</f>
        <v>Modern Physics</v>
      </c>
      <c r="B748" s="1" t="str">
        <f>"9788120325975"</f>
        <v>9788120325975</v>
      </c>
      <c r="C748" s="1">
        <v>9.35</v>
      </c>
      <c r="D748" s="1" t="str">
        <f>"USD"</f>
        <v>USD</v>
      </c>
      <c r="E748" s="1" t="str">
        <f>"2016"</f>
        <v>2016</v>
      </c>
      <c r="F748" s="1" t="str">
        <f>"Aruldhas"</f>
        <v>Aruldhas</v>
      </c>
      <c r="G748" s="1" t="str">
        <f>"jahanadib"</f>
        <v>jahanadib</v>
      </c>
      <c r="J748" s="1"/>
    </row>
    <row r="749" spans="1:10" x14ac:dyDescent="0.2">
      <c r="A749" s="1" t="str">
        <f>"Modern Plasmonics, Volume4"</f>
        <v>Modern Plasmonics, Volume4</v>
      </c>
      <c r="B749" s="1" t="str">
        <f>"9780444638120"</f>
        <v>9780444638120</v>
      </c>
      <c r="C749" s="1">
        <v>211.5</v>
      </c>
      <c r="D749" s="1" t="str">
        <f>"USD"</f>
        <v>USD</v>
      </c>
      <c r="E749" s="1" t="str">
        <f>"2017"</f>
        <v>2017</v>
      </c>
      <c r="F749" s="1" t="str">
        <f>"Maradudin et al"</f>
        <v>Maradudin et al</v>
      </c>
      <c r="G749" s="1" t="str">
        <f>"dehkadehketab"</f>
        <v>dehkadehketab</v>
      </c>
      <c r="J749" s="1"/>
    </row>
    <row r="750" spans="1:10" x14ac:dyDescent="0.2">
      <c r="A750" s="1" t="str">
        <f>"Modern Quantum Mechanics"</f>
        <v>Modern Quantum Mechanics</v>
      </c>
      <c r="B750" s="1" t="str">
        <f>"9781108422413"</f>
        <v>9781108422413</v>
      </c>
      <c r="C750" s="1">
        <v>46.8</v>
      </c>
      <c r="D750" s="1" t="str">
        <f>"GBP"</f>
        <v>GBP</v>
      </c>
      <c r="E750" s="1" t="str">
        <f>"2017"</f>
        <v>2017</v>
      </c>
      <c r="F750" s="1" t="str">
        <f>"Sakurai"</f>
        <v>Sakurai</v>
      </c>
      <c r="G750" s="1" t="str">
        <f>"arzinbooks"</f>
        <v>arzinbooks</v>
      </c>
      <c r="J750" s="1"/>
    </row>
    <row r="751" spans="1:10" x14ac:dyDescent="0.2">
      <c r="A751" s="1" t="str">
        <f>"MODERN TRENDS IN PHYSICS RESEARCH: PROCEEDINGS OF THE 4TH INTERNATIONAL CONFERENCE ON MTPR-10 (CONFERENCE PROCEEDINGS)"</f>
        <v>MODERN TRENDS IN PHYSICS RESEARCH: PROCEEDINGS OF THE 4TH INTERNATIONAL CONFERENCE ON MTPR-10 (CONFERENCE PROCEEDINGS)</v>
      </c>
      <c r="B751" s="1" t="str">
        <f>"9789814504881"</f>
        <v>9789814504881</v>
      </c>
      <c r="C751" s="1">
        <v>69</v>
      </c>
      <c r="D751" s="1" t="str">
        <f>"GBP"</f>
        <v>GBP</v>
      </c>
      <c r="E751" s="1" t="str">
        <f>"2013"</f>
        <v>2013</v>
      </c>
      <c r="F751" s="1" t="str">
        <f>"LOTFIA M EL NADI(ED"</f>
        <v>LOTFIA M EL NADI(ED</v>
      </c>
      <c r="G751" s="1" t="str">
        <f>"AsarBartar"</f>
        <v>AsarBartar</v>
      </c>
      <c r="J751" s="1"/>
    </row>
    <row r="752" spans="1:10" x14ac:dyDescent="0.2">
      <c r="A752" s="1" t="str">
        <f>"Molecular Excitation Dynamics and Relaxation"</f>
        <v>Molecular Excitation Dynamics and Relaxation</v>
      </c>
      <c r="B752" s="1" t="str">
        <f>"9783527410088"</f>
        <v>9783527410088</v>
      </c>
      <c r="C752" s="1">
        <v>114.4</v>
      </c>
      <c r="D752" s="1" t="str">
        <f>"USD"</f>
        <v>USD</v>
      </c>
      <c r="E752" s="1" t="str">
        <f>"2013"</f>
        <v>2013</v>
      </c>
      <c r="F752" s="1" t="str">
        <f>"Valkunas"</f>
        <v>Valkunas</v>
      </c>
      <c r="G752" s="1" t="str">
        <f>"avanddanesh"</f>
        <v>avanddanesh</v>
      </c>
      <c r="J752" s="1"/>
    </row>
    <row r="753" spans="1:10" x14ac:dyDescent="0.2">
      <c r="A753" s="1" t="str">
        <f>"Molecular Spectroscopy, Second Edition"</f>
        <v>Molecular Spectroscopy, Second Edition</v>
      </c>
      <c r="B753" s="1" t="str">
        <f>"9781466586581"</f>
        <v>9781466586581</v>
      </c>
      <c r="C753" s="1">
        <v>69.3</v>
      </c>
      <c r="D753" s="1" t="str">
        <f>"GBP"</f>
        <v>GBP</v>
      </c>
      <c r="E753" s="1" t="str">
        <f>"2017"</f>
        <v>2017</v>
      </c>
      <c r="F753" s="1" t="str">
        <f>"MCHALE"</f>
        <v>MCHALE</v>
      </c>
      <c r="G753" s="1" t="str">
        <f>"sal"</f>
        <v>sal</v>
      </c>
      <c r="J753" s="1"/>
    </row>
    <row r="754" spans="1:10" x14ac:dyDescent="0.2">
      <c r="A754" s="1" t="str">
        <f>"Molecule-Metal Interface"</f>
        <v>Molecule-Metal Interface</v>
      </c>
      <c r="B754" s="1" t="str">
        <f>"9783527410606"</f>
        <v>9783527410606</v>
      </c>
      <c r="C754" s="1">
        <v>94.3</v>
      </c>
      <c r="D754" s="1" t="str">
        <f>"USD"</f>
        <v>USD</v>
      </c>
      <c r="E754" s="1" t="str">
        <f>"2013"</f>
        <v>2013</v>
      </c>
      <c r="F754" s="1" t="str">
        <f>"Koch"</f>
        <v>Koch</v>
      </c>
      <c r="G754" s="1" t="str">
        <f>"avanddanesh"</f>
        <v>avanddanesh</v>
      </c>
      <c r="J754" s="1"/>
    </row>
    <row r="755" spans="1:10" x14ac:dyDescent="0.2">
      <c r="A755" s="1" t="str">
        <f>"Monte Carlo Methods for Radiation Transport: Fundamentals and Advanced Topics"</f>
        <v>Monte Carlo Methods for Radiation Transport: Fundamentals and Advanced Topics</v>
      </c>
      <c r="B755" s="1" t="str">
        <f>"9783319441405"</f>
        <v>9783319441405</v>
      </c>
      <c r="C755" s="1">
        <v>107.99</v>
      </c>
      <c r="D755" s="1" t="str">
        <f>"EUR"</f>
        <v>EUR</v>
      </c>
      <c r="E755" s="1" t="str">
        <f>"2017"</f>
        <v>2017</v>
      </c>
      <c r="F755" s="1" t="str">
        <f>"Vassiliev"</f>
        <v>Vassiliev</v>
      </c>
      <c r="G755" s="1" t="str">
        <f>"negarestanabi"</f>
        <v>negarestanabi</v>
      </c>
      <c r="J755" s="1"/>
    </row>
    <row r="756" spans="1:10" x14ac:dyDescent="0.2">
      <c r="A756" s="1" t="str">
        <f>"MOS Devices for Low-Voltage and Low-Energy Applications"</f>
        <v>MOS Devices for Low-Voltage and Low-Energy Applications</v>
      </c>
      <c r="B756" s="1" t="str">
        <f>"9781119107354"</f>
        <v>9781119107354</v>
      </c>
      <c r="C756" s="1">
        <v>135</v>
      </c>
      <c r="D756" s="1" t="str">
        <f>"USD"</f>
        <v>USD</v>
      </c>
      <c r="E756" s="1" t="str">
        <f>"2017"</f>
        <v>2017</v>
      </c>
      <c r="F756" s="1" t="str">
        <f>"Omura"</f>
        <v>Omura</v>
      </c>
      <c r="G756" s="1" t="str">
        <f>"avanddanesh"</f>
        <v>avanddanesh</v>
      </c>
      <c r="J756" s="1"/>
    </row>
    <row r="757" spans="1:10" x14ac:dyDescent="0.2">
      <c r="A757" s="1" t="str">
        <f>"MOSSBAUER ANALYSIS OF ATOMIC &amp; MAGNETIC STRUCTURE OF, HB"</f>
        <v>MOSSBAUER ANALYSIS OF ATOMIC &amp; MAGNETIC STRUCTURE OF, HB</v>
      </c>
      <c r="B757" s="1" t="str">
        <f>"9788130908335"</f>
        <v>9788130908335</v>
      </c>
      <c r="C757" s="1">
        <v>21.77</v>
      </c>
      <c r="D757" s="1" t="str">
        <f>"USD"</f>
        <v>USD</v>
      </c>
      <c r="E757" s="1" t="str">
        <f>"2010"</f>
        <v>2010</v>
      </c>
      <c r="F757" s="1" t="str">
        <f>"Ovchinnikov"</f>
        <v>Ovchinnikov</v>
      </c>
      <c r="G757" s="1" t="str">
        <f>"supply"</f>
        <v>supply</v>
      </c>
      <c r="J757" s="1"/>
    </row>
    <row r="758" spans="1:10" x14ac:dyDescent="0.2">
      <c r="A758" s="1" t="str">
        <f>"Multi Frequency EPR Spectroscopy of Conjugated Polymers and Their Nanocomposites"</f>
        <v>Multi Frequency EPR Spectroscopy of Conjugated Polymers and Their Nanocomposites</v>
      </c>
      <c r="B758" s="1" t="str">
        <f>"9781498779647"</f>
        <v>9781498779647</v>
      </c>
      <c r="C758" s="1">
        <v>119.51</v>
      </c>
      <c r="D758" s="1" t="str">
        <f>"GBP"</f>
        <v>GBP</v>
      </c>
      <c r="E758" s="1" t="str">
        <f>"2016"</f>
        <v>2016</v>
      </c>
      <c r="F758" s="1" t="str">
        <f>"KRINICHNYI"</f>
        <v>KRINICHNYI</v>
      </c>
      <c r="G758" s="1" t="str">
        <f>"sal"</f>
        <v>sal</v>
      </c>
      <c r="J758" s="1"/>
    </row>
    <row r="759" spans="1:10" x14ac:dyDescent="0.2">
      <c r="A759" s="1" t="str">
        <f>"Multiconfigurational Quantum Chemistry"</f>
        <v>Multiconfigurational Quantum Chemistry</v>
      </c>
      <c r="B759" s="1" t="str">
        <f>"9780470633465"</f>
        <v>9780470633465</v>
      </c>
      <c r="C759" s="1">
        <v>106.3</v>
      </c>
      <c r="D759" s="1" t="str">
        <f>"USD"</f>
        <v>USD</v>
      </c>
      <c r="E759" s="1" t="str">
        <f>"2016"</f>
        <v>2016</v>
      </c>
      <c r="F759" s="1" t="str">
        <f>"Roos"</f>
        <v>Roos</v>
      </c>
      <c r="G759" s="1" t="str">
        <f>"avanddanesh"</f>
        <v>avanddanesh</v>
      </c>
      <c r="J759" s="1"/>
    </row>
    <row r="760" spans="1:10" x14ac:dyDescent="0.2">
      <c r="A760" s="1" t="str">
        <f>"Multifrequency Electron Paramagnetic Resonance: Data And Techniques"</f>
        <v>Multifrequency Electron Paramagnetic Resonance: Data And Techniques</v>
      </c>
      <c r="B760" s="1" t="str">
        <f>"9783527412228"</f>
        <v>9783527412228</v>
      </c>
      <c r="C760" s="1">
        <v>135</v>
      </c>
      <c r="D760" s="1" t="str">
        <f>"USD"</f>
        <v>USD</v>
      </c>
      <c r="E760" s="1" t="str">
        <f>"2014"</f>
        <v>2014</v>
      </c>
      <c r="F760" s="1" t="str">
        <f>"Misra"</f>
        <v>Misra</v>
      </c>
      <c r="G760" s="1" t="str">
        <f>"avanddanesh"</f>
        <v>avanddanesh</v>
      </c>
      <c r="J760" s="1"/>
    </row>
    <row r="761" spans="1:10" x14ac:dyDescent="0.2">
      <c r="A761" s="1" t="str">
        <f>"Multifrequency Electron Paramagnetic Resonance: Theory and Applications"</f>
        <v>Multifrequency Electron Paramagnetic Resonance: Theory and Applications</v>
      </c>
      <c r="B761" s="1" t="str">
        <f>"9783527407798"</f>
        <v>9783527407798</v>
      </c>
      <c r="C761" s="1">
        <v>100.4</v>
      </c>
      <c r="D761" s="1" t="str">
        <f>"USD"</f>
        <v>USD</v>
      </c>
      <c r="E761" s="1" t="str">
        <f>"2011"</f>
        <v>2011</v>
      </c>
      <c r="F761" s="1" t="str">
        <f>"Misra"</f>
        <v>Misra</v>
      </c>
      <c r="G761" s="1" t="str">
        <f>"avanddanesh"</f>
        <v>avanddanesh</v>
      </c>
      <c r="J761" s="1"/>
    </row>
    <row r="762" spans="1:10" x14ac:dyDescent="0.2">
      <c r="A762" s="1" t="str">
        <f>"Multiphysics Modeling"</f>
        <v>Multiphysics Modeling</v>
      </c>
      <c r="B762" s="1" t="str">
        <f>"9781938549984"</f>
        <v>9781938549984</v>
      </c>
      <c r="C762" s="1">
        <v>64.599999999999994</v>
      </c>
      <c r="D762" s="1" t="str">
        <f>"GBP"</f>
        <v>GBP</v>
      </c>
      <c r="E762" s="1" t="str">
        <f>"2015"</f>
        <v>2015</v>
      </c>
      <c r="F762" s="1" t="str">
        <f>"Pryor"</f>
        <v>Pryor</v>
      </c>
      <c r="G762" s="1" t="str">
        <f>"jahanadib"</f>
        <v>jahanadib</v>
      </c>
      <c r="J762" s="1"/>
    </row>
    <row r="763" spans="1:10" x14ac:dyDescent="0.2">
      <c r="A763" s="1" t="str">
        <f>"Munson, Young and Okiishi's Fundamentals of Fluid Mechanics,8e Global Edition"</f>
        <v>Munson, Young and Okiishi's Fundamentals of Fluid Mechanics,8e Global Edition</v>
      </c>
      <c r="B763" s="1" t="str">
        <f>"9781119248989"</f>
        <v>9781119248989</v>
      </c>
      <c r="C763" s="1">
        <v>49.5</v>
      </c>
      <c r="D763" s="1" t="str">
        <f>"USD"</f>
        <v>USD</v>
      </c>
      <c r="E763" s="1" t="str">
        <f>"2017"</f>
        <v>2017</v>
      </c>
      <c r="F763" s="1" t="str">
        <f>"Gerhart"</f>
        <v>Gerhart</v>
      </c>
      <c r="G763" s="1" t="str">
        <f>"avanddanesh"</f>
        <v>avanddanesh</v>
      </c>
      <c r="J763" s="1"/>
    </row>
    <row r="764" spans="1:10" x14ac:dyDescent="0.2">
      <c r="A764" s="1" t="str">
        <f>"Musical Techniques: Frequencies and Harmony"</f>
        <v>Musical Techniques: Frequencies and Harmony</v>
      </c>
      <c r="B764" s="1" t="str">
        <f>"9781786300584"</f>
        <v>9781786300584</v>
      </c>
      <c r="C764" s="1">
        <v>121.5</v>
      </c>
      <c r="D764" s="1" t="str">
        <f>"USD"</f>
        <v>USD</v>
      </c>
      <c r="E764" s="1" t="str">
        <f>"2017"</f>
        <v>2017</v>
      </c>
      <c r="F764" s="1" t="str">
        <f>"Paret"</f>
        <v>Paret</v>
      </c>
      <c r="G764" s="1" t="str">
        <f>"avanddanesh"</f>
        <v>avanddanesh</v>
      </c>
      <c r="J764" s="1"/>
    </row>
    <row r="765" spans="1:10" x14ac:dyDescent="0.2">
      <c r="A765" s="1" t="str">
        <f>"Nanomagnetism: Applications and Perspectives"</f>
        <v>Nanomagnetism: Applications and Perspectives</v>
      </c>
      <c r="B765" s="1" t="str">
        <f>"9783527339853"</f>
        <v>9783527339853</v>
      </c>
      <c r="C765" s="1">
        <v>184.5</v>
      </c>
      <c r="D765" s="1" t="str">
        <f>"USD"</f>
        <v>USD</v>
      </c>
      <c r="E765" s="1" t="str">
        <f>"2017"</f>
        <v>2017</v>
      </c>
      <c r="F765" s="1" t="str">
        <f>"Fermon"</f>
        <v>Fermon</v>
      </c>
      <c r="G765" s="1" t="str">
        <f>"avanddanesh"</f>
        <v>avanddanesh</v>
      </c>
      <c r="J765" s="1"/>
    </row>
    <row r="766" spans="1:10" x14ac:dyDescent="0.2">
      <c r="A766" s="1" t="str">
        <f>"Nanophotonics and Plasmonics: An Integrated View (Series in Optics and Optoelectronics)"</f>
        <v>Nanophotonics and Plasmonics: An Integrated View (Series in Optics and Optoelectronics)</v>
      </c>
      <c r="B766" s="1" t="str">
        <f>"9781498758673"</f>
        <v>9781498758673</v>
      </c>
      <c r="C766" s="1">
        <v>171</v>
      </c>
      <c r="D766" s="1" t="str">
        <f>"GBP"</f>
        <v>GBP</v>
      </c>
      <c r="E766" s="1" t="str">
        <f>"2017"</f>
        <v>2017</v>
      </c>
      <c r="F766" s="1" t="str">
        <f>"Png"</f>
        <v>Png</v>
      </c>
      <c r="G766" s="1" t="str">
        <f>"sal"</f>
        <v>sal</v>
      </c>
      <c r="J766" s="1"/>
    </row>
    <row r="767" spans="1:10" x14ac:dyDescent="0.2">
      <c r="A767" s="1" t="str">
        <f>"Nanostructure Physics and Microelectronics"</f>
        <v>Nanostructure Physics and Microelectronics</v>
      </c>
      <c r="B767" s="1" t="str">
        <f>"9781842659052"</f>
        <v>9781842659052</v>
      </c>
      <c r="C767" s="1">
        <v>34.97</v>
      </c>
      <c r="D767" s="1" t="str">
        <f>"GBP"</f>
        <v>GBP</v>
      </c>
      <c r="E767" s="1" t="str">
        <f>"2015"</f>
        <v>2015</v>
      </c>
      <c r="F767" s="1" t="str">
        <f>"Chowdhury"</f>
        <v>Chowdhury</v>
      </c>
      <c r="G767" s="1" t="str">
        <f>"jahanadib"</f>
        <v>jahanadib</v>
      </c>
      <c r="J767" s="1"/>
    </row>
    <row r="768" spans="1:10" x14ac:dyDescent="0.2">
      <c r="A768" s="1" t="str">
        <f>"NATURE OF THE TEMPERATURE AND HEAT, HB"</f>
        <v>NATURE OF THE TEMPERATURE AND HEAT, HB</v>
      </c>
      <c r="B768" s="1" t="str">
        <f>"9788178846989"</f>
        <v>9788178846989</v>
      </c>
      <c r="C768" s="1">
        <v>17.5</v>
      </c>
      <c r="D768" s="1" t="str">
        <f>"USD"</f>
        <v>USD</v>
      </c>
      <c r="E768" s="1" t="str">
        <f>"2011"</f>
        <v>2011</v>
      </c>
      <c r="F768" s="1" t="str">
        <f>"Taneja"</f>
        <v>Taneja</v>
      </c>
      <c r="G768" s="1" t="str">
        <f>"supply"</f>
        <v>supply</v>
      </c>
      <c r="J768" s="1"/>
    </row>
    <row r="769" spans="1:10" x14ac:dyDescent="0.2">
      <c r="A769" s="1" t="str">
        <f>"NEUTRINO ASTRONOMY: CURRENT STATUS, FUTURE PROSPECTS"</f>
        <v>NEUTRINO ASTRONOMY: CURRENT STATUS, FUTURE PROSPECTS</v>
      </c>
      <c r="B769" s="1" t="str">
        <f>"9789814759403"</f>
        <v>9789814759403</v>
      </c>
      <c r="C769" s="1">
        <v>81</v>
      </c>
      <c r="D769" s="1" t="str">
        <f>"GBP"</f>
        <v>GBP</v>
      </c>
      <c r="E769" s="1" t="str">
        <f>"2017"</f>
        <v>2017</v>
      </c>
      <c r="F769" s="1" t="str">
        <f>"GAISSER THOMAS K ET"</f>
        <v>GAISSER THOMAS K ET</v>
      </c>
      <c r="G769" s="1" t="str">
        <f>"AsarBartar"</f>
        <v>AsarBartar</v>
      </c>
      <c r="J769" s="1"/>
    </row>
    <row r="770" spans="1:10" x14ac:dyDescent="0.2">
      <c r="A770" s="1" t="str">
        <f>"Neutrino Oscillations &amp; Their Origin"</f>
        <v>Neutrino Oscillations &amp; Their Origin</v>
      </c>
      <c r="B770" s="1" t="str">
        <f>"9789812563620"</f>
        <v>9789812563620</v>
      </c>
      <c r="C770" s="1">
        <v>9.5</v>
      </c>
      <c r="D770" s="1" t="str">
        <f>"GBP"</f>
        <v>GBP</v>
      </c>
      <c r="E770" s="1" t="str">
        <f>"2005"</f>
        <v>2005</v>
      </c>
      <c r="F770" s="1" t="str">
        <f>"Suzuki"</f>
        <v>Suzuki</v>
      </c>
      <c r="G770" s="1" t="str">
        <f>"kowkab"</f>
        <v>kowkab</v>
      </c>
      <c r="J770" s="1"/>
    </row>
    <row r="771" spans="1:10" x14ac:dyDescent="0.2">
      <c r="A771" s="1" t="str">
        <f>"NEUTRINO OSCILLATIONS: PRESENT STATUS AND FUTURE PLANS"</f>
        <v>NEUTRINO OSCILLATIONS: PRESENT STATUS AND FUTURE PLANS</v>
      </c>
      <c r="B771" s="1" t="str">
        <f>"9789812771964"</f>
        <v>9789812771964</v>
      </c>
      <c r="C771" s="1">
        <v>26.38</v>
      </c>
      <c r="D771" s="1" t="str">
        <f>"USD"</f>
        <v>USD</v>
      </c>
      <c r="E771" s="1" t="str">
        <f>"2008"</f>
        <v>2008</v>
      </c>
      <c r="F771" s="1" t="str">
        <f>"Thomas Jennifer A &amp; "</f>
        <v xml:space="preserve">Thomas Jennifer A &amp; </v>
      </c>
      <c r="G771" s="1" t="str">
        <f>"kowkab"</f>
        <v>kowkab</v>
      </c>
      <c r="J771" s="1"/>
    </row>
    <row r="772" spans="1:10" x14ac:dyDescent="0.2">
      <c r="A772" s="1" t="str">
        <f>"Neutrino Physics: Proceedings of Nobel Symposium 129"</f>
        <v>Neutrino Physics: Proceedings of Nobel Symposium 129</v>
      </c>
      <c r="B772" s="1" t="str">
        <f>"9789812567376"</f>
        <v>9789812567376</v>
      </c>
      <c r="C772" s="1">
        <v>52.09</v>
      </c>
      <c r="D772" s="1" t="str">
        <f>"USD"</f>
        <v>USD</v>
      </c>
      <c r="E772" s="1" t="str">
        <f>"2006"</f>
        <v>2006</v>
      </c>
      <c r="F772" s="1" t="str">
        <f>"Bergstrom L Et Al"</f>
        <v>Bergstrom L Et Al</v>
      </c>
      <c r="G772" s="1" t="str">
        <f>"kowkab"</f>
        <v>kowkab</v>
      </c>
      <c r="J772" s="1"/>
    </row>
    <row r="773" spans="1:10" x14ac:dyDescent="0.2">
      <c r="A773" s="1" t="str">
        <f>"Neutrinos in High Energy and Astroparticle Physics"</f>
        <v>Neutrinos in High Energy and Astroparticle Physics</v>
      </c>
      <c r="B773" s="1" t="str">
        <f>"9783527411979"</f>
        <v>9783527411979</v>
      </c>
      <c r="C773" s="1">
        <v>99.2</v>
      </c>
      <c r="D773" s="1" t="str">
        <f>"USD"</f>
        <v>USD</v>
      </c>
      <c r="E773" s="1" t="str">
        <f>"2015"</f>
        <v>2015</v>
      </c>
      <c r="F773" s="1" t="str">
        <f>"Valle"</f>
        <v>Valle</v>
      </c>
      <c r="G773" s="1" t="str">
        <f>"avanddanesh"</f>
        <v>avanddanesh</v>
      </c>
      <c r="J773" s="1"/>
    </row>
    <row r="774" spans="1:10" x14ac:dyDescent="0.2">
      <c r="A774" s="1" t="str">
        <f>"New Dualities of Supersymmetric Gauge Theories"</f>
        <v>New Dualities of Supersymmetric Gauge Theories</v>
      </c>
      <c r="B774" s="1" t="str">
        <f>"9783319187686"</f>
        <v>9783319187686</v>
      </c>
      <c r="C774" s="1">
        <v>85.49</v>
      </c>
      <c r="D774" s="1" t="str">
        <f>"EUR"</f>
        <v>EUR</v>
      </c>
      <c r="E774" s="1" t="str">
        <f>"2016"</f>
        <v>2016</v>
      </c>
      <c r="F774" s="1" t="str">
        <f>"Teschner"</f>
        <v>Teschner</v>
      </c>
      <c r="G774" s="1" t="str">
        <f>"negarestanabi"</f>
        <v>negarestanabi</v>
      </c>
      <c r="J774" s="1"/>
    </row>
    <row r="775" spans="1:10" x14ac:dyDescent="0.2">
      <c r="A775" s="1" t="str">
        <f>"New Frontiers in Black Hole Astrophysics (IAU S324)"</f>
        <v>New Frontiers in Black Hole Astrophysics (IAU S324)</v>
      </c>
      <c r="B775" s="1" t="str">
        <f>"9781107169883"</f>
        <v>9781107169883</v>
      </c>
      <c r="C775" s="1">
        <v>112.5</v>
      </c>
      <c r="D775" s="1" t="str">
        <f>"USD"</f>
        <v>USD</v>
      </c>
      <c r="E775" s="1" t="str">
        <f>"2017"</f>
        <v>2017</v>
      </c>
      <c r="F775" s="1" t="str">
        <f>"Gomboc"</f>
        <v>Gomboc</v>
      </c>
      <c r="G775" s="1" t="str">
        <f>"dehkadehketab"</f>
        <v>dehkadehketab</v>
      </c>
      <c r="J775" s="1"/>
    </row>
    <row r="776" spans="1:10" x14ac:dyDescent="0.2">
      <c r="A776" s="1" t="str">
        <f>"NEW FRONTIERS IN FIELDS AND STRINGS (TASI 2015) - PROCEEDINGS OF THE 2015 THEORETICAL ADVANCED STUDY INSTITUTE IN ELEMENTARY PARTICLE PHYSICS"</f>
        <v>NEW FRONTIERS IN FIELDS AND STRINGS (TASI 2015) - PROCEEDINGS OF THE 2015 THEORETICAL ADVANCED STUDY INSTITUTE IN ELEMENTARY PARTICLE PHYSICS</v>
      </c>
      <c r="B776" s="1" t="str">
        <f>"9789813149434"</f>
        <v>9789813149434</v>
      </c>
      <c r="C776" s="1">
        <v>140.4</v>
      </c>
      <c r="D776" s="1" t="str">
        <f>"GBP"</f>
        <v>GBP</v>
      </c>
      <c r="E776" s="1" t="str">
        <f>"2017"</f>
        <v>2017</v>
      </c>
      <c r="F776" s="1" t="str">
        <f>"POLCHINSKI JOSEPH E"</f>
        <v>POLCHINSKI JOSEPH E</v>
      </c>
      <c r="G776" s="1" t="str">
        <f>"AsarBartar"</f>
        <v>AsarBartar</v>
      </c>
      <c r="J776" s="1"/>
    </row>
    <row r="777" spans="1:10" x14ac:dyDescent="0.2">
      <c r="A777" s="1" t="str">
        <f>"New Trends In Hera Physics"</f>
        <v>New Trends In Hera Physics</v>
      </c>
      <c r="B777" s="1" t="str">
        <f>"9789812388353"</f>
        <v>9789812388353</v>
      </c>
      <c r="C777" s="1">
        <v>39.5</v>
      </c>
      <c r="D777" s="1" t="str">
        <f>"GBP"</f>
        <v>GBP</v>
      </c>
      <c r="E777" s="1" t="str">
        <f>"2004"</f>
        <v>2004</v>
      </c>
      <c r="F777" s="1" t="str">
        <f>"G. Grindhammer"</f>
        <v>G. Grindhammer</v>
      </c>
      <c r="G777" s="1" t="str">
        <f>"kowkab"</f>
        <v>kowkab</v>
      </c>
      <c r="J777" s="1"/>
    </row>
    <row r="778" spans="1:10" x14ac:dyDescent="0.2">
      <c r="A778" s="1" t="str">
        <f>"Newtonian Mechanics for Undergraduates (Essential Textbooks in Physics)"</f>
        <v>Newtonian Mechanics for Undergraduates (Essential Textbooks in Physics)</v>
      </c>
      <c r="B778" s="1" t="str">
        <f>"9781786340085"</f>
        <v>9781786340085</v>
      </c>
      <c r="C778" s="1">
        <v>27.2</v>
      </c>
      <c r="D778" s="1" t="str">
        <f>"GBP"</f>
        <v>GBP</v>
      </c>
      <c r="E778" s="1" t="str">
        <f>"2015"</f>
        <v>2015</v>
      </c>
      <c r="F778" s="1" t="str">
        <f>"Vijay Tymms"</f>
        <v>Vijay Tymms</v>
      </c>
      <c r="G778" s="1" t="str">
        <f>"AsarBartar"</f>
        <v>AsarBartar</v>
      </c>
      <c r="J778" s="1"/>
    </row>
    <row r="779" spans="1:10" x14ac:dyDescent="0.2">
      <c r="A779" s="1" t="str">
        <f>"Noble Gas Detectors"</f>
        <v>Noble Gas Detectors</v>
      </c>
      <c r="B779" s="1" t="str">
        <f>"9783527405978"</f>
        <v>9783527405978</v>
      </c>
      <c r="C779" s="1">
        <v>144</v>
      </c>
      <c r="D779" s="1" t="str">
        <f>"USD"</f>
        <v>USD</v>
      </c>
      <c r="E779" s="1" t="str">
        <f>"2006"</f>
        <v>2006</v>
      </c>
      <c r="F779" s="1" t="str">
        <f>"Bolozdynya-Physics"</f>
        <v>Bolozdynya-Physics</v>
      </c>
      <c r="G779" s="1" t="str">
        <f>"safirketab"</f>
        <v>safirketab</v>
      </c>
      <c r="J779" s="1"/>
    </row>
    <row r="780" spans="1:10" x14ac:dyDescent="0.2">
      <c r="A780" s="1" t="str">
        <f>"Noncommutative Geometry and Particle Physics"</f>
        <v>Noncommutative Geometry and Particle Physics</v>
      </c>
      <c r="B780" s="1" t="str">
        <f>"9789401791618"</f>
        <v>9789401791618</v>
      </c>
      <c r="C780" s="1">
        <v>44.99</v>
      </c>
      <c r="D780" s="1" t="str">
        <f>"EUR"</f>
        <v>EUR</v>
      </c>
      <c r="E780" s="1" t="str">
        <f>"2015"</f>
        <v>2015</v>
      </c>
      <c r="F780" s="1" t="str">
        <f>"van Suijlekom"</f>
        <v>van Suijlekom</v>
      </c>
      <c r="G780" s="1" t="str">
        <f>"negarestanabi"</f>
        <v>negarestanabi</v>
      </c>
      <c r="J780" s="1"/>
    </row>
    <row r="781" spans="1:10" x14ac:dyDescent="0.2">
      <c r="A781" s="1" t="str">
        <f>"NON-COOPERATIVE EQUILIBRIA OF FERMI SYSTEMS WITH LONG RANGE INTERACTIONS (MEMO/224/1052)"</f>
        <v>NON-COOPERATIVE EQUILIBRIA OF FERMI SYSTEMS WITH LONG RANGE INTERACTIONS (MEMO/224/1052)</v>
      </c>
      <c r="B781" s="1" t="str">
        <f>"9780821889763"</f>
        <v>9780821889763</v>
      </c>
      <c r="C781" s="1">
        <v>30.5</v>
      </c>
      <c r="D781" s="1" t="str">
        <f>"GBP"</f>
        <v>GBP</v>
      </c>
      <c r="E781" s="1" t="str">
        <f>"2013"</f>
        <v>2013</v>
      </c>
      <c r="F781" s="1" t="str">
        <f>"J. B. Bru"</f>
        <v>J. B. Bru</v>
      </c>
      <c r="G781" s="1" t="str">
        <f>"kowkab"</f>
        <v>kowkab</v>
      </c>
      <c r="J781" s="1"/>
    </row>
    <row r="782" spans="1:10" x14ac:dyDescent="0.2">
      <c r="A782" s="1" t="str">
        <f>"Non-driven Micromechanical Gyroscopes and Their Applications"</f>
        <v>Non-driven Micromechanical Gyroscopes and Their Applications</v>
      </c>
      <c r="B782" s="1" t="str">
        <f>"9783662540435"</f>
        <v>9783662540435</v>
      </c>
      <c r="C782" s="1">
        <v>116.99</v>
      </c>
      <c r="D782" s="1" t="str">
        <f>"EUR"</f>
        <v>EUR</v>
      </c>
      <c r="E782" s="1" t="str">
        <f>"2018"</f>
        <v>2018</v>
      </c>
      <c r="F782" s="1" t="str">
        <f>"Zhang"</f>
        <v>Zhang</v>
      </c>
      <c r="G782" s="1" t="str">
        <f>"negarestanabi"</f>
        <v>negarestanabi</v>
      </c>
      <c r="J782" s="1"/>
    </row>
    <row r="783" spans="1:10" x14ac:dyDescent="0.2">
      <c r="A783" s="1" t="str">
        <f>"Non-equilibrium Statistical Physics with Application to Disordered Systems"</f>
        <v>Non-equilibrium Statistical Physics with Application to Disordered Systems</v>
      </c>
      <c r="B783" s="1" t="str">
        <f>"9783319515526"</f>
        <v>9783319515526</v>
      </c>
      <c r="C783" s="1">
        <v>53.99</v>
      </c>
      <c r="D783" s="1" t="str">
        <f>"EUR"</f>
        <v>EUR</v>
      </c>
      <c r="E783" s="1" t="str">
        <f>"2017"</f>
        <v>2017</v>
      </c>
      <c r="F783" s="1" t="str">
        <f>"CÃ¡ceres"</f>
        <v>CÃ¡ceres</v>
      </c>
      <c r="G783" s="1" t="str">
        <f>"negarestanabi"</f>
        <v>negarestanabi</v>
      </c>
      <c r="J783" s="1"/>
    </row>
    <row r="784" spans="1:10" x14ac:dyDescent="0.2">
      <c r="A784" s="1" t="str">
        <f>"Nonlinear Dynamics: Mathematical Models for Rigid Bodies with a Liquid (De Gruyter Studies in Mathematical Physics)"</f>
        <v>Nonlinear Dynamics: Mathematical Models for Rigid Bodies with a Liquid (De Gruyter Studies in Mathematical Physics)</v>
      </c>
      <c r="B784" s="1" t="str">
        <f>"9783110316551"</f>
        <v>9783110316551</v>
      </c>
      <c r="C784" s="1">
        <v>127.5</v>
      </c>
      <c r="D784" s="1" t="str">
        <f>"EUR"</f>
        <v>EUR</v>
      </c>
      <c r="E784" s="1" t="str">
        <f>"2015"</f>
        <v>2015</v>
      </c>
      <c r="F784" s="1" t="str">
        <f>"Ivan A. Lukovsky"</f>
        <v>Ivan A. Lukovsky</v>
      </c>
      <c r="G784" s="1" t="str">
        <f>"AsarBartar"</f>
        <v>AsarBartar</v>
      </c>
      <c r="J784" s="1"/>
    </row>
    <row r="785" spans="1:10" x14ac:dyDescent="0.2">
      <c r="A785" s="1" t="str">
        <f>"Nonlinear Fiber Optics, 5th Edition"</f>
        <v>Nonlinear Fiber Optics, 5th Edition</v>
      </c>
      <c r="B785" s="1" t="str">
        <f>"9780128100561"</f>
        <v>9780128100561</v>
      </c>
      <c r="C785" s="1">
        <v>107.95</v>
      </c>
      <c r="D785" s="1" t="str">
        <f>"USD"</f>
        <v>USD</v>
      </c>
      <c r="E785" s="1" t="str">
        <f>"2017"</f>
        <v>2017</v>
      </c>
      <c r="F785" s="1" t="str">
        <f>"Agrawal"</f>
        <v>Agrawal</v>
      </c>
      <c r="G785" s="1" t="str">
        <f>"dehkadehketab"</f>
        <v>dehkadehketab</v>
      </c>
      <c r="J785" s="1"/>
    </row>
    <row r="786" spans="1:10" x14ac:dyDescent="0.2">
      <c r="A786" s="1" t="str">
        <f>"Nonlinear Photonics in Mid-infrared Quantum Cascade Lasers"</f>
        <v>Nonlinear Photonics in Mid-infrared Quantum Cascade Lasers</v>
      </c>
      <c r="B786" s="1" t="str">
        <f>"9783319658780"</f>
        <v>9783319658780</v>
      </c>
      <c r="C786" s="1">
        <v>89.99</v>
      </c>
      <c r="D786" s="1" t="str">
        <f>"EUR"</f>
        <v>EUR</v>
      </c>
      <c r="E786" s="1" t="str">
        <f>"2017"</f>
        <v>2017</v>
      </c>
      <c r="F786" s="1" t="str">
        <f>"Jumpertz"</f>
        <v>Jumpertz</v>
      </c>
      <c r="G786" s="1" t="str">
        <f>"negarestanabi"</f>
        <v>negarestanabi</v>
      </c>
      <c r="J786" s="1"/>
    </row>
    <row r="787" spans="1:10" x14ac:dyDescent="0.2">
      <c r="A787" s="1" t="str">
        <f>"Nonlinear Wave Methods for Charge Transport"</f>
        <v>Nonlinear Wave Methods for Charge Transport</v>
      </c>
      <c r="B787" s="1" t="str">
        <f>"9783527406951"</f>
        <v>9783527406951</v>
      </c>
      <c r="C787" s="1">
        <v>132.29</v>
      </c>
      <c r="D787" s="1" t="str">
        <f>"USD"</f>
        <v>USD</v>
      </c>
      <c r="E787" s="1" t="str">
        <f>"2010"</f>
        <v>2010</v>
      </c>
      <c r="F787" s="1" t="str">
        <f>"Bonilla"</f>
        <v>Bonilla</v>
      </c>
      <c r="G787" s="1" t="str">
        <f>"safirketab"</f>
        <v>safirketab</v>
      </c>
      <c r="J787" s="1"/>
    </row>
    <row r="788" spans="1:10" x14ac:dyDescent="0.2">
      <c r="A788" s="1" t="str">
        <f>"Nonregular Nanosystems: Theory and Applications"</f>
        <v>Nonregular Nanosystems: Theory and Applications</v>
      </c>
      <c r="B788" s="1" t="str">
        <f>"9783319691664"</f>
        <v>9783319691664</v>
      </c>
      <c r="C788" s="1">
        <v>134.99</v>
      </c>
      <c r="D788" s="1" t="str">
        <f>"EUR"</f>
        <v>EUR</v>
      </c>
      <c r="E788" s="1" t="str">
        <f>"2018"</f>
        <v>2018</v>
      </c>
      <c r="F788" s="1" t="str">
        <f>"Shunin"</f>
        <v>Shunin</v>
      </c>
      <c r="G788" s="1" t="str">
        <f>"negarestanabi"</f>
        <v>negarestanabi</v>
      </c>
      <c r="J788" s="1"/>
    </row>
    <row r="789" spans="1:10" x14ac:dyDescent="0.2">
      <c r="A789" s="1" t="str">
        <f>"Non-Relativistic Quantum Mechanics"</f>
        <v>Non-Relativistic Quantum Mechanics</v>
      </c>
      <c r="B789" s="1" t="str">
        <f>"9781107164369"</f>
        <v>9781107164369</v>
      </c>
      <c r="C789" s="1">
        <v>59.5</v>
      </c>
      <c r="D789" s="1" t="str">
        <f>"GBP"</f>
        <v>GBP</v>
      </c>
      <c r="E789" s="1" t="str">
        <f>"2017"</f>
        <v>2017</v>
      </c>
      <c r="F789" s="1" t="str">
        <f>"Puri"</f>
        <v>Puri</v>
      </c>
      <c r="G789" s="1" t="str">
        <f>"arzinbooks"</f>
        <v>arzinbooks</v>
      </c>
      <c r="J789" s="1"/>
    </row>
    <row r="790" spans="1:10" x14ac:dyDescent="0.2">
      <c r="A790" s="1" t="str">
        <f>"Nonrelativistic Quantum X-Ray Physics"</f>
        <v>Nonrelativistic Quantum X-Ray Physics</v>
      </c>
      <c r="B790" s="1" t="str">
        <f>"9783527411603"</f>
        <v>9783527411603</v>
      </c>
      <c r="C790" s="1">
        <v>105</v>
      </c>
      <c r="D790" s="1" t="str">
        <f>"USD"</f>
        <v>USD</v>
      </c>
      <c r="E790" s="1" t="str">
        <f>"2014"</f>
        <v>2014</v>
      </c>
      <c r="F790" s="1" t="str">
        <f>"Hau-Riege"</f>
        <v>Hau-Riege</v>
      </c>
      <c r="G790" s="1" t="str">
        <f>"avanddanesh"</f>
        <v>avanddanesh</v>
      </c>
      <c r="J790" s="1"/>
    </row>
    <row r="791" spans="1:10" x14ac:dyDescent="0.2">
      <c r="A791" s="1" t="str">
        <f>"Non-Selfadjoint Operators in Quantum Physics: Mathematical Aspects"</f>
        <v>Non-Selfadjoint Operators in Quantum Physics: Mathematical Aspects</v>
      </c>
      <c r="B791" s="1" t="str">
        <f>"9781118855287"</f>
        <v>9781118855287</v>
      </c>
      <c r="C791" s="1">
        <v>100</v>
      </c>
      <c r="D791" s="1" t="str">
        <f>"USD"</f>
        <v>USD</v>
      </c>
      <c r="E791" s="1" t="str">
        <f>"2015"</f>
        <v>2015</v>
      </c>
      <c r="F791" s="1" t="str">
        <f>"Bagarello"</f>
        <v>Bagarello</v>
      </c>
      <c r="G791" s="1" t="str">
        <f>"avanddanesh"</f>
        <v>avanddanesh</v>
      </c>
      <c r="J791" s="1"/>
    </row>
    <row r="792" spans="1:10" x14ac:dyDescent="0.2">
      <c r="A792" s="1" t="str">
        <f>"Novel Functional Magnetic Materials: Fundamentals and Applications"</f>
        <v>Novel Functional Magnetic Materials: Fundamentals and Applications</v>
      </c>
      <c r="B792" s="1" t="str">
        <f>"9783319261041"</f>
        <v>9783319261041</v>
      </c>
      <c r="C792" s="1">
        <v>116.99</v>
      </c>
      <c r="D792" s="1" t="str">
        <f>"EUR"</f>
        <v>EUR</v>
      </c>
      <c r="E792" s="1" t="str">
        <f>"2016"</f>
        <v>2016</v>
      </c>
      <c r="F792" s="1" t="str">
        <f>"Zhukov"</f>
        <v>Zhukov</v>
      </c>
      <c r="G792" s="1" t="str">
        <f>"negarestanabi"</f>
        <v>negarestanabi</v>
      </c>
      <c r="J792" s="1"/>
    </row>
    <row r="793" spans="1:10" x14ac:dyDescent="0.2">
      <c r="A793" s="1" t="str">
        <f>"Nuclear Decommissioning, Planning, Execution and International Experience"</f>
        <v>Nuclear Decommissioning, Planning, Execution and International Experience</v>
      </c>
      <c r="B793" s="1" t="str">
        <f>"9780081016169"</f>
        <v>9780081016169</v>
      </c>
      <c r="C793" s="1">
        <v>319.5</v>
      </c>
      <c r="D793" s="1" t="str">
        <f>"USD"</f>
        <v>USD</v>
      </c>
      <c r="E793" s="1" t="str">
        <f>"2017"</f>
        <v>2017</v>
      </c>
      <c r="F793" s="1" t="str">
        <f>"Laraia"</f>
        <v>Laraia</v>
      </c>
      <c r="G793" s="1" t="str">
        <f>"dehkadehketab"</f>
        <v>dehkadehketab</v>
      </c>
      <c r="J793" s="1"/>
    </row>
    <row r="794" spans="1:10" x14ac:dyDescent="0.2">
      <c r="A794" s="1" t="str">
        <f>"Nuclear Energy, An Introduction to the Concepts, Systems, and Applications of Nuclear Processes, 7th Edition"</f>
        <v>Nuclear Energy, An Introduction to the Concepts, Systems, and Applications of Nuclear Processes, 7th Edition</v>
      </c>
      <c r="B794" s="1" t="str">
        <f>"9780128099933"</f>
        <v>9780128099933</v>
      </c>
      <c r="C794" s="1">
        <v>89.95</v>
      </c>
      <c r="D794" s="1" t="str">
        <f>"USD"</f>
        <v>USD</v>
      </c>
      <c r="E794" s="1" t="str">
        <f>"2017"</f>
        <v>2017</v>
      </c>
      <c r="F794" s="1" t="str">
        <f>"Murray and Holbert"</f>
        <v>Murray and Holbert</v>
      </c>
      <c r="G794" s="1" t="str">
        <f>"dehkadehketab"</f>
        <v>dehkadehketab</v>
      </c>
      <c r="J794" s="1"/>
    </row>
    <row r="795" spans="1:10" x14ac:dyDescent="0.2">
      <c r="A795" s="1" t="str">
        <f>"Nuclear Engineering Handbook, Second Edition (Mechanical and Aerospace Engineering Series)"</f>
        <v>Nuclear Engineering Handbook, Second Edition (Mechanical and Aerospace Engineering Series)</v>
      </c>
      <c r="B795" s="1" t="str">
        <f>"9781482215922"</f>
        <v>9781482215922</v>
      </c>
      <c r="C795" s="1">
        <v>140.25</v>
      </c>
      <c r="D795" s="1" t="str">
        <f>"GBP"</f>
        <v>GBP</v>
      </c>
      <c r="E795" s="1" t="str">
        <f>"2016"</f>
        <v>2016</v>
      </c>
      <c r="F795" s="1" t="str">
        <f>"Kenneth D. Kok(Edit"</f>
        <v>Kenneth D. Kok(Edit</v>
      </c>
      <c r="G795" s="1" t="str">
        <f>"AsarBartar"</f>
        <v>AsarBartar</v>
      </c>
      <c r="J795" s="1"/>
    </row>
    <row r="796" spans="1:10" x14ac:dyDescent="0.2">
      <c r="A796" s="1" t="str">
        <f>"Nuclear Engineering, A Conceptual Introduction to Nuclear Power"</f>
        <v>Nuclear Engineering, A Conceptual Introduction to Nuclear Power</v>
      </c>
      <c r="B796" s="1" t="str">
        <f>"9780081009482"</f>
        <v>9780081009482</v>
      </c>
      <c r="C796" s="1">
        <v>89.95</v>
      </c>
      <c r="D796" s="1" t="str">
        <f>"USD"</f>
        <v>USD</v>
      </c>
      <c r="E796" s="1" t="str">
        <f>"2017"</f>
        <v>2017</v>
      </c>
      <c r="F796" s="1" t="str">
        <f>"Joyce"</f>
        <v>Joyce</v>
      </c>
      <c r="G796" s="1" t="str">
        <f>"dehkadehketab"</f>
        <v>dehkadehketab</v>
      </c>
      <c r="J796" s="1"/>
    </row>
    <row r="797" spans="1:10" x14ac:dyDescent="0.2">
      <c r="A797" s="1" t="str">
        <f>"Nuclear Forensic Analysis, Second Edition"</f>
        <v>Nuclear Forensic Analysis, Second Edition</v>
      </c>
      <c r="B797" s="1" t="str">
        <f>"9781439880616"</f>
        <v>9781439880616</v>
      </c>
      <c r="C797" s="1">
        <v>101.15</v>
      </c>
      <c r="D797" s="1" t="str">
        <f>"GBP"</f>
        <v>GBP</v>
      </c>
      <c r="E797" s="1" t="str">
        <f>"2015"</f>
        <v>2015</v>
      </c>
      <c r="F797" s="1" t="str">
        <f>"Patrick M. Grant"</f>
        <v>Patrick M. Grant</v>
      </c>
      <c r="G797" s="1" t="str">
        <f>"AsarBartar"</f>
        <v>AsarBartar</v>
      </c>
      <c r="J797" s="1"/>
    </row>
    <row r="798" spans="1:10" x14ac:dyDescent="0.2">
      <c r="A798" s="1" t="str">
        <f>"NUCLEAR PARTICLE CORRELATIONS AND CLUSTER PHYSICS"</f>
        <v>NUCLEAR PARTICLE CORRELATIONS AND CLUSTER PHYSICS</v>
      </c>
      <c r="B798" s="1" t="str">
        <f>"9789813209343"</f>
        <v>9789813209343</v>
      </c>
      <c r="C798" s="1">
        <v>148.5</v>
      </c>
      <c r="D798" s="1" t="str">
        <f>"GBP"</f>
        <v>GBP</v>
      </c>
      <c r="E798" s="1" t="str">
        <f>"2017"</f>
        <v>2017</v>
      </c>
      <c r="F798" s="1" t="str">
        <f>"SCHROEDER WOLF-UDO"</f>
        <v>SCHROEDER WOLF-UDO</v>
      </c>
      <c r="G798" s="1" t="str">
        <f>"AsarBartar"</f>
        <v>AsarBartar</v>
      </c>
      <c r="J798" s="1"/>
    </row>
    <row r="799" spans="1:10" x14ac:dyDescent="0.2">
      <c r="A799" s="1" t="str">
        <f>"NUCLEAR PHYSICS, HB"</f>
        <v>NUCLEAR PHYSICS, HB</v>
      </c>
      <c r="B799" s="1" t="str">
        <f>"9789380642031"</f>
        <v>9789380642031</v>
      </c>
      <c r="C799" s="1">
        <v>41.09</v>
      </c>
      <c r="D799" s="1" t="str">
        <f>"USD"</f>
        <v>USD</v>
      </c>
      <c r="E799" s="1" t="str">
        <f>"2011"</f>
        <v>2011</v>
      </c>
      <c r="F799" s="1" t="str">
        <f>"Chatwal"</f>
        <v>Chatwal</v>
      </c>
      <c r="G799" s="1" t="str">
        <f>"supply"</f>
        <v>supply</v>
      </c>
      <c r="J799" s="1"/>
    </row>
    <row r="800" spans="1:10" x14ac:dyDescent="0.2">
      <c r="A800" s="1" t="str">
        <f>"NUCLEAR PHYSICS, HB"</f>
        <v>NUCLEAR PHYSICS, HB</v>
      </c>
      <c r="B800" s="1" t="str">
        <f>"9781926686592"</f>
        <v>9781926686592</v>
      </c>
      <c r="C800" s="1">
        <v>93.1</v>
      </c>
      <c r="D800" s="1" t="str">
        <f>"USD"</f>
        <v>USD</v>
      </c>
      <c r="E800" s="1" t="str">
        <f>"2010"</f>
        <v>2010</v>
      </c>
      <c r="F800" s="1" t="str">
        <f>"Patterson"</f>
        <v>Patterson</v>
      </c>
      <c r="G800" s="1" t="str">
        <f>"supply"</f>
        <v>supply</v>
      </c>
      <c r="J800" s="1"/>
    </row>
    <row r="801" spans="1:10" x14ac:dyDescent="0.2">
      <c r="A801" s="1" t="str">
        <f>"Nuclear Power Plant Safety and Mechanical Integrity, Design and Operability of Mechanical Systems, Equipment and Supporting Structures"</f>
        <v>Nuclear Power Plant Safety and Mechanical Integrity, Design and Operability of Mechanical Systems, Equipment and Supporting Structures</v>
      </c>
      <c r="B801" s="1" t="str">
        <f>"9780128102893"</f>
        <v>9780128102893</v>
      </c>
      <c r="C801" s="1">
        <v>135</v>
      </c>
      <c r="D801" s="1" t="str">
        <f>"USD"</f>
        <v>USD</v>
      </c>
      <c r="E801" s="1" t="str">
        <f>"2017"</f>
        <v>2017</v>
      </c>
      <c r="F801" s="1" t="str">
        <f>"Antaki and Gilada"</f>
        <v>Antaki and Gilada</v>
      </c>
      <c r="G801" s="1" t="str">
        <f>"dehkadehketab"</f>
        <v>dehkadehketab</v>
      </c>
      <c r="J801" s="1"/>
    </row>
    <row r="802" spans="1:10" x14ac:dyDescent="0.2">
      <c r="A802" s="1" t="str">
        <f>"Nuclear Terrorism and National Preparedness"</f>
        <v>Nuclear Terrorism and National Preparedness</v>
      </c>
      <c r="B802" s="1" t="str">
        <f>"9789401799355"</f>
        <v>9789401799355</v>
      </c>
      <c r="C802" s="1">
        <v>80.989999999999995</v>
      </c>
      <c r="D802" s="1" t="str">
        <f>"EUR"</f>
        <v>EUR</v>
      </c>
      <c r="E802" s="1" t="str">
        <f>"2015"</f>
        <v>2015</v>
      </c>
      <c r="F802" s="1" t="str">
        <f>"Apikyan"</f>
        <v>Apikyan</v>
      </c>
      <c r="G802" s="1" t="str">
        <f>"negarestanabi"</f>
        <v>negarestanabi</v>
      </c>
      <c r="J802" s="1"/>
    </row>
    <row r="803" spans="1:10" x14ac:dyDescent="0.2">
      <c r="A803" s="1" t="str">
        <f>"Numerical and Practical Exercises in Thermoluminescence"</f>
        <v>Numerical and Practical Exercises in Thermoluminescence</v>
      </c>
      <c r="B803" s="1" t="str">
        <f>"9780387260631"</f>
        <v>9780387260631</v>
      </c>
      <c r="C803" s="1">
        <v>50.28</v>
      </c>
      <c r="D803" s="1" t="str">
        <f>"USD"</f>
        <v>USD</v>
      </c>
      <c r="E803" s="1" t="str">
        <f>"2006"</f>
        <v>2006</v>
      </c>
      <c r="F803" s="1" t="str">
        <f>"Pagonis,V."</f>
        <v>Pagonis,V.</v>
      </c>
      <c r="G803" s="1" t="str">
        <f>"safirketab"</f>
        <v>safirketab</v>
      </c>
      <c r="J803" s="1"/>
    </row>
    <row r="804" spans="1:10" x14ac:dyDescent="0.2">
      <c r="A804" s="1" t="str">
        <f>"Numerical Methods for Time-Resolved Quantum Nanoelectronics"</f>
        <v>Numerical Methods for Time-Resolved Quantum Nanoelectronics</v>
      </c>
      <c r="B804" s="1" t="str">
        <f>"9783319636900"</f>
        <v>9783319636900</v>
      </c>
      <c r="C804" s="1">
        <v>89.99</v>
      </c>
      <c r="D804" s="1" t="str">
        <f>"EUR"</f>
        <v>EUR</v>
      </c>
      <c r="E804" s="1" t="str">
        <f>"2017"</f>
        <v>2017</v>
      </c>
      <c r="F804" s="1" t="str">
        <f>"Weston"</f>
        <v>Weston</v>
      </c>
      <c r="G804" s="1" t="str">
        <f>"negarestanabi"</f>
        <v>negarestanabi</v>
      </c>
      <c r="J804" s="1"/>
    </row>
    <row r="805" spans="1:10" x14ac:dyDescent="0.2">
      <c r="A805" s="1" t="str">
        <f>"Observation of Superconductivity in Epitaxially Grown Atomic Layers: In Situ Electrical Transport Measurements"</f>
        <v>Observation of Superconductivity in Epitaxially Grown Atomic Layers: In Situ Electrical Transport Measurements</v>
      </c>
      <c r="B805" s="1" t="str">
        <f>"9789811068522"</f>
        <v>9789811068522</v>
      </c>
      <c r="C805" s="1">
        <v>89.99</v>
      </c>
      <c r="D805" s="1" t="str">
        <f>"EUR"</f>
        <v>EUR</v>
      </c>
      <c r="E805" s="1" t="str">
        <f>"2018"</f>
        <v>2018</v>
      </c>
      <c r="F805" s="1" t="str">
        <f>"Ichinokura"</f>
        <v>Ichinokura</v>
      </c>
      <c r="G805" s="1" t="str">
        <f>"negarestanabi"</f>
        <v>negarestanabi</v>
      </c>
      <c r="J805" s="1"/>
    </row>
    <row r="806" spans="1:10" x14ac:dyDescent="0.2">
      <c r="A806" s="1" t="str">
        <f>"One Hundred Physics Visualizations Using Matlab: (With DVD-ROM)"</f>
        <v>One Hundred Physics Visualizations Using Matlab: (With DVD-ROM)</v>
      </c>
      <c r="B806" s="1" t="str">
        <f>"9789814518444"</f>
        <v>9789814518444</v>
      </c>
      <c r="C806" s="1">
        <v>25.6</v>
      </c>
      <c r="D806" s="1" t="str">
        <f>"GBP"</f>
        <v>GBP</v>
      </c>
      <c r="E806" s="1" t="str">
        <f>"2014"</f>
        <v>2014</v>
      </c>
      <c r="F806" s="1" t="str">
        <f>"Dan Green"</f>
        <v>Dan Green</v>
      </c>
      <c r="G806" s="1" t="str">
        <f>"AsarBartar"</f>
        <v>AsarBartar</v>
      </c>
      <c r="J806" s="1"/>
    </row>
    <row r="807" spans="1:10" x14ac:dyDescent="0.2">
      <c r="A807" s="1" t="str">
        <f>"Optical Engineering of Diamond"</f>
        <v>Optical Engineering of Diamond</v>
      </c>
      <c r="B807" s="1" t="str">
        <f>"9783527411023"</f>
        <v>9783527411023</v>
      </c>
      <c r="C807" s="1">
        <v>118.3</v>
      </c>
      <c r="D807" s="1" t="str">
        <f t="shared" ref="D807:D814" si="21">"USD"</f>
        <v>USD</v>
      </c>
      <c r="E807" s="1" t="str">
        <f>"2013"</f>
        <v>2013</v>
      </c>
      <c r="F807" s="1" t="str">
        <f>"Mildren"</f>
        <v>Mildren</v>
      </c>
      <c r="G807" s="1" t="str">
        <f>"avanddanesh"</f>
        <v>avanddanesh</v>
      </c>
      <c r="J807" s="1"/>
    </row>
    <row r="808" spans="1:10" x14ac:dyDescent="0.2">
      <c r="A808" s="1" t="str">
        <f>"Optical Shop Testing,3e"</f>
        <v>Optical Shop Testing,3e</v>
      </c>
      <c r="B808" s="1" t="str">
        <f>"9780471484042"</f>
        <v>9780471484042</v>
      </c>
      <c r="C808" s="1">
        <v>85.6</v>
      </c>
      <c r="D808" s="1" t="str">
        <f t="shared" si="21"/>
        <v>USD</v>
      </c>
      <c r="E808" s="1" t="str">
        <f>"2007"</f>
        <v>2007</v>
      </c>
      <c r="F808" s="1" t="str">
        <f>"Malacara"</f>
        <v>Malacara</v>
      </c>
      <c r="G808" s="1" t="str">
        <f>"avanddanesh"</f>
        <v>avanddanesh</v>
      </c>
      <c r="J808" s="1"/>
    </row>
    <row r="809" spans="1:10" x14ac:dyDescent="0.2">
      <c r="A809" s="1" t="str">
        <f>"Optically Pumped Atoms"</f>
        <v>Optically Pumped Atoms</v>
      </c>
      <c r="B809" s="1" t="str">
        <f>"9783527407071"</f>
        <v>9783527407071</v>
      </c>
      <c r="C809" s="1">
        <v>64</v>
      </c>
      <c r="D809" s="1" t="str">
        <f t="shared" si="21"/>
        <v>USD</v>
      </c>
      <c r="E809" s="1" t="str">
        <f>"2010"</f>
        <v>2010</v>
      </c>
      <c r="F809" s="1" t="str">
        <f>"Happer"</f>
        <v>Happer</v>
      </c>
      <c r="G809" s="1" t="str">
        <f>"safirketab"</f>
        <v>safirketab</v>
      </c>
      <c r="J809" s="1"/>
    </row>
    <row r="810" spans="1:10" x14ac:dyDescent="0.2">
      <c r="A810" s="1" t="str">
        <f>"Optically Pumped Atoms"</f>
        <v>Optically Pumped Atoms</v>
      </c>
      <c r="B810" s="1" t="str">
        <f>"9783527407071"</f>
        <v>9783527407071</v>
      </c>
      <c r="C810" s="1">
        <v>64</v>
      </c>
      <c r="D810" s="1" t="str">
        <f t="shared" si="21"/>
        <v>USD</v>
      </c>
      <c r="E810" s="1" t="str">
        <f>"2010"</f>
        <v>2010</v>
      </c>
      <c r="F810" s="1" t="str">
        <f>"Happer"</f>
        <v>Happer</v>
      </c>
      <c r="G810" s="1" t="str">
        <f>"avanddanesh"</f>
        <v>avanddanesh</v>
      </c>
      <c r="J810" s="1"/>
    </row>
    <row r="811" spans="1:10" x14ac:dyDescent="0.2">
      <c r="A811" s="1" t="str">
        <f>"Optically Stimulated Luminescence: Fundamentals and Applications"</f>
        <v>Optically Stimulated Luminescence: Fundamentals and Applications</v>
      </c>
      <c r="B811" s="1" t="str">
        <f>"9780470697252"</f>
        <v>9780470697252</v>
      </c>
      <c r="C811" s="1">
        <v>116.25</v>
      </c>
      <c r="D811" s="1" t="str">
        <f t="shared" si="21"/>
        <v>USD</v>
      </c>
      <c r="E811" s="1" t="str">
        <f>"2011"</f>
        <v>2011</v>
      </c>
      <c r="F811" s="1" t="str">
        <f>"McKeever"</f>
        <v>McKeever</v>
      </c>
      <c r="G811" s="1" t="str">
        <f>"safirketab"</f>
        <v>safirketab</v>
      </c>
      <c r="J811" s="1"/>
    </row>
    <row r="812" spans="1:10" x14ac:dyDescent="0.2">
      <c r="A812" s="1" t="str">
        <f>"Optics For Dummies"</f>
        <v>Optics For Dummies</v>
      </c>
      <c r="B812" s="1" t="str">
        <f>"9781118017234"</f>
        <v>9781118017234</v>
      </c>
      <c r="C812" s="1">
        <v>8.8000000000000007</v>
      </c>
      <c r="D812" s="1" t="str">
        <f t="shared" si="21"/>
        <v>USD</v>
      </c>
      <c r="E812" s="1" t="str">
        <f>"2011"</f>
        <v>2011</v>
      </c>
      <c r="F812" s="1" t="str">
        <f>"Duree"</f>
        <v>Duree</v>
      </c>
      <c r="G812" s="1" t="str">
        <f>"avanddanesh"</f>
        <v>avanddanesh</v>
      </c>
      <c r="J812" s="1"/>
    </row>
    <row r="813" spans="1:10" x14ac:dyDescent="0.2">
      <c r="A813" s="1" t="str">
        <f>"Optics, Light and Lasers: The Practical Approach to Modern Aspects of Photonics and Laser Physics,3e"</f>
        <v>Optics, Light and Lasers: The Practical Approach to Modern Aspects of Photonics and Laser Physics,3e</v>
      </c>
      <c r="B813" s="1" t="str">
        <f>"9783527413317"</f>
        <v>9783527413317</v>
      </c>
      <c r="C813" s="1">
        <v>112.5</v>
      </c>
      <c r="D813" s="1" t="str">
        <f t="shared" si="21"/>
        <v>USD</v>
      </c>
      <c r="E813" s="1" t="str">
        <f>"2017"</f>
        <v>2017</v>
      </c>
      <c r="F813" s="1" t="str">
        <f>"Meschede"</f>
        <v>Meschede</v>
      </c>
      <c r="G813" s="1" t="str">
        <f>"avanddanesh"</f>
        <v>avanddanesh</v>
      </c>
      <c r="J813" s="1"/>
    </row>
    <row r="814" spans="1:10" x14ac:dyDescent="0.2">
      <c r="A814" s="1" t="str">
        <f>"Optics: An Introduction for Students of Engineering"</f>
        <v>Optics: An Introduction for Students of Engineering</v>
      </c>
      <c r="B814" s="1" t="str">
        <f>"9789332559431"</f>
        <v>9789332559431</v>
      </c>
      <c r="C814" s="1">
        <v>10.199999999999999</v>
      </c>
      <c r="D814" s="1" t="str">
        <f t="shared" si="21"/>
        <v>USD</v>
      </c>
      <c r="E814" s="1" t="str">
        <f>"2015"</f>
        <v>2015</v>
      </c>
      <c r="F814" s="1" t="str">
        <f>"Blaker "</f>
        <v xml:space="preserve">Blaker </v>
      </c>
      <c r="G814" s="1" t="str">
        <f>"jahanadib"</f>
        <v>jahanadib</v>
      </c>
      <c r="J814" s="1"/>
    </row>
    <row r="815" spans="1:10" x14ac:dyDescent="0.2">
      <c r="A815" s="1" t="str">
        <f>"Optoelectronic Circuits in Nanometer CMOS Technology"</f>
        <v>Optoelectronic Circuits in Nanometer CMOS Technology</v>
      </c>
      <c r="B815" s="1" t="str">
        <f>"9783319273365"</f>
        <v>9783319273365</v>
      </c>
      <c r="C815" s="1">
        <v>98.99</v>
      </c>
      <c r="D815" s="1" t="str">
        <f>"EUR"</f>
        <v>EUR</v>
      </c>
      <c r="E815" s="1" t="str">
        <f>"2016"</f>
        <v>2016</v>
      </c>
      <c r="F815" s="1" t="str">
        <f>"Atef"</f>
        <v>Atef</v>
      </c>
      <c r="G815" s="1" t="str">
        <f>"negarestanabi"</f>
        <v>negarestanabi</v>
      </c>
      <c r="J815" s="1"/>
    </row>
    <row r="816" spans="1:10" x14ac:dyDescent="0.2">
      <c r="A816" s="1" t="str">
        <f>"ORDER, DISORDER AND CRITICALITY - ADVANCED PROBLEMS OF PHASE TRANSITION THEORY - VOLUME 5"</f>
        <v>ORDER, DISORDER AND CRITICALITY - ADVANCED PROBLEMS OF PHASE TRANSITION THEORY - VOLUME 5</v>
      </c>
      <c r="B816" s="1" t="str">
        <f>"9789813232099"</f>
        <v>9789813232099</v>
      </c>
      <c r="C816" s="1">
        <v>108.9</v>
      </c>
      <c r="D816" s="1" t="str">
        <f>"GBP"</f>
        <v>GBP</v>
      </c>
      <c r="E816" s="1" t="str">
        <f>"2018"</f>
        <v>2018</v>
      </c>
      <c r="F816" s="1" t="str">
        <f>"HOLOVATCH YURIJ"</f>
        <v>HOLOVATCH YURIJ</v>
      </c>
      <c r="G816" s="1" t="str">
        <f>"AsarBartar"</f>
        <v>AsarBartar</v>
      </c>
      <c r="J816" s="1"/>
    </row>
    <row r="817" spans="1:10" x14ac:dyDescent="0.2">
      <c r="A817" s="1" t="str">
        <f>"Organic Thin-Film Transistor Applications: Materials to Circuits"</f>
        <v>Organic Thin-Film Transistor Applications: Materials to Circuits</v>
      </c>
      <c r="B817" s="1" t="str">
        <f>"9781498736534"</f>
        <v>9781498736534</v>
      </c>
      <c r="C817" s="1">
        <v>106.09</v>
      </c>
      <c r="D817" s="1" t="str">
        <f>"GBP"</f>
        <v>GBP</v>
      </c>
      <c r="E817" s="1" t="str">
        <f>"2016"</f>
        <v>2016</v>
      </c>
      <c r="F817" s="1" t="str">
        <f>"KAUSHIK"</f>
        <v>KAUSHIK</v>
      </c>
      <c r="G817" s="1" t="str">
        <f>"sal"</f>
        <v>sal</v>
      </c>
      <c r="J817" s="1"/>
    </row>
    <row r="818" spans="1:10" x14ac:dyDescent="0.2">
      <c r="A818" s="1" t="str">
        <f>"ORIGIN AND EVOLUTION OF COMETS: TEN YEARS AFTER THE NICE MODEL AND ONE YEAR AFTER ROSETTA"</f>
        <v>ORIGIN AND EVOLUTION OF COMETS: TEN YEARS AFTER THE NICE MODEL AND ONE YEAR AFTER ROSETTA</v>
      </c>
      <c r="B818" s="1" t="str">
        <f>"9789813222571"</f>
        <v>9789813222571</v>
      </c>
      <c r="C818" s="1">
        <v>101.7</v>
      </c>
      <c r="D818" s="1" t="str">
        <f>"GBP"</f>
        <v>GBP</v>
      </c>
      <c r="E818" s="1" t="str">
        <f>"2018"</f>
        <v>2018</v>
      </c>
      <c r="F818" s="1" t="str">
        <f>"RICKMAN HANS"</f>
        <v>RICKMAN HANS</v>
      </c>
      <c r="G818" s="1" t="str">
        <f>"AsarBartar"</f>
        <v>AsarBartar</v>
      </c>
      <c r="J818" s="1"/>
    </row>
    <row r="819" spans="1:10" x14ac:dyDescent="0.2">
      <c r="A819" s="1" t="str">
        <f>"Our Energy Future: Socioeconomic Implications and Policy Options for Rural America (Routledge Studies in Energy Policy)"</f>
        <v>Our Energy Future: Socioeconomic Implications and Policy Options for Rural America (Routledge Studies in Energy Policy)</v>
      </c>
      <c r="B819" s="1" t="str">
        <f>"9781138784116"</f>
        <v>9781138784116</v>
      </c>
      <c r="C819" s="1">
        <v>85</v>
      </c>
      <c r="D819" s="1" t="str">
        <f>"GBP"</f>
        <v>GBP</v>
      </c>
      <c r="E819" s="1" t="str">
        <f>"2015"</f>
        <v>2015</v>
      </c>
      <c r="F819" s="1" t="str">
        <f>"DON E. ALBRECHT(EDI"</f>
        <v>DON E. ALBRECHT(EDI</v>
      </c>
      <c r="G819" s="1" t="str">
        <f>"AsarBartar"</f>
        <v>AsarBartar</v>
      </c>
      <c r="J819" s="1"/>
    </row>
    <row r="820" spans="1:10" x14ac:dyDescent="0.2">
      <c r="A820" s="1" t="str">
        <f>"OUT OF THE SHADOWS, contributions of twentieth-century women to physics"</f>
        <v>OUT OF THE SHADOWS, contributions of twentieth-century women to physics</v>
      </c>
      <c r="B820" s="1" t="str">
        <f>"9780521821971"</f>
        <v>9780521821971</v>
      </c>
      <c r="C820" s="1">
        <v>29.14</v>
      </c>
      <c r="D820" s="1" t="str">
        <f>"USD"</f>
        <v>USD</v>
      </c>
      <c r="E820" s="1" t="str">
        <f>"2006"</f>
        <v>2006</v>
      </c>
      <c r="F820" s="1" t="str">
        <f>"BYERS"</f>
        <v>BYERS</v>
      </c>
      <c r="G820" s="1" t="str">
        <f>"safirketab"</f>
        <v>safirketab</v>
      </c>
      <c r="J820" s="1"/>
    </row>
    <row r="821" spans="1:10" x14ac:dyDescent="0.2">
      <c r="A821" s="1" t="str">
        <f>"Output Coupling in Optical Cavities and Lasers:A Quantum Theoretical Approach"</f>
        <v>Output Coupling in Optical Cavities and Lasers:A Quantum Theoretical Approach</v>
      </c>
      <c r="B821" s="1" t="str">
        <f>"9783527407637"</f>
        <v>9783527407637</v>
      </c>
      <c r="C821" s="1">
        <v>151.19999999999999</v>
      </c>
      <c r="D821" s="1" t="str">
        <f>"USD"</f>
        <v>USD</v>
      </c>
      <c r="E821" s="1" t="str">
        <f>"2010"</f>
        <v>2010</v>
      </c>
      <c r="F821" s="1" t="str">
        <f>"Ujihara"</f>
        <v>Ujihara</v>
      </c>
      <c r="G821" s="1" t="str">
        <f>"safirketab"</f>
        <v>safirketab</v>
      </c>
      <c r="J821" s="1"/>
    </row>
    <row r="822" spans="1:10" x14ac:dyDescent="0.2">
      <c r="A822" s="1" t="str">
        <f>"OVERVIEW OF GRAVITATIONAL WAVES, AN: THEORY, SOURCES AND DETECTION"</f>
        <v>OVERVIEW OF GRAVITATIONAL WAVES, AN: THEORY, SOURCES AND DETECTION</v>
      </c>
      <c r="B822" s="1" t="str">
        <f>"9789813141759"</f>
        <v>9789813141759</v>
      </c>
      <c r="C822" s="1">
        <v>95.4</v>
      </c>
      <c r="D822" s="1" t="str">
        <f>"GBP"</f>
        <v>GBP</v>
      </c>
      <c r="E822" s="1" t="str">
        <f>"2017"</f>
        <v>2017</v>
      </c>
      <c r="F822" s="1" t="str">
        <f>"AUGER GERARD &amp; PLAG"</f>
        <v>AUGER GERARD &amp; PLAG</v>
      </c>
      <c r="G822" s="1" t="str">
        <f>"AsarBartar"</f>
        <v>AsarBartar</v>
      </c>
      <c r="J822" s="1"/>
    </row>
    <row r="823" spans="1:10" x14ac:dyDescent="0.2">
      <c r="A823" s="1" t="str">
        <f>"Particle Interactions in High-Temperature Plasmas"</f>
        <v>Particle Interactions in High-Temperature Plasmas</v>
      </c>
      <c r="B823" s="1" t="str">
        <f>"9783319634463"</f>
        <v>9783319634463</v>
      </c>
      <c r="C823" s="1">
        <v>89.99</v>
      </c>
      <c r="D823" s="1" t="str">
        <f>"EUR"</f>
        <v>EUR</v>
      </c>
      <c r="E823" s="1" t="str">
        <f>"2017"</f>
        <v>2017</v>
      </c>
      <c r="F823" s="1" t="str">
        <f>"Pike"</f>
        <v>Pike</v>
      </c>
      <c r="G823" s="1" t="str">
        <f>"negarestanabi"</f>
        <v>negarestanabi</v>
      </c>
      <c r="J823" s="1"/>
    </row>
    <row r="824" spans="1:10" x14ac:dyDescent="0.2">
      <c r="A824" s="1" t="str">
        <f>"Particle Physics Experiments at High Energy Colliders"</f>
        <v>Particle Physics Experiments at High Energy Colliders</v>
      </c>
      <c r="B824" s="1" t="str">
        <f>"9783527408252"</f>
        <v>9783527408252</v>
      </c>
      <c r="C824" s="1">
        <v>78.75</v>
      </c>
      <c r="D824" s="1" t="str">
        <f>"USD"</f>
        <v>USD</v>
      </c>
      <c r="E824" s="1" t="str">
        <f>"2011"</f>
        <v>2011</v>
      </c>
      <c r="F824" s="1" t="str">
        <f>"Hauptman"</f>
        <v>Hauptman</v>
      </c>
      <c r="G824" s="1" t="str">
        <f>"safirketab"</f>
        <v>safirketab</v>
      </c>
      <c r="J824" s="1"/>
    </row>
    <row r="825" spans="1:10" x14ac:dyDescent="0.2">
      <c r="A825" s="1" t="str">
        <f>"Particle Physics,4e"</f>
        <v>Particle Physics,4e</v>
      </c>
      <c r="B825" s="1" t="str">
        <f>"9781118912164"</f>
        <v>9781118912164</v>
      </c>
      <c r="C825" s="1">
        <v>49.5</v>
      </c>
      <c r="D825" s="1" t="str">
        <f>"USD"</f>
        <v>USD</v>
      </c>
      <c r="E825" s="1" t="str">
        <f>"2017"</f>
        <v>2017</v>
      </c>
      <c r="F825" s="1" t="str">
        <f>"Martin"</f>
        <v>Martin</v>
      </c>
      <c r="G825" s="1" t="str">
        <f>"avanddanesh"</f>
        <v>avanddanesh</v>
      </c>
      <c r="J825" s="1"/>
    </row>
    <row r="826" spans="1:10" x14ac:dyDescent="0.2">
      <c r="A826" s="1" t="str">
        <f>"Particles and Nuclei: An Introduction to the Physical Concepts. 7/ed"</f>
        <v>Particles and Nuclei: An Introduction to the Physical Concepts. 7/ed</v>
      </c>
      <c r="B826" s="1" t="str">
        <f>"9783662463208"</f>
        <v>9783662463208</v>
      </c>
      <c r="C826" s="1">
        <v>53.99</v>
      </c>
      <c r="D826" s="1" t="str">
        <f>"EUR"</f>
        <v>EUR</v>
      </c>
      <c r="E826" s="1" t="str">
        <f>"2015"</f>
        <v>2015</v>
      </c>
      <c r="F826" s="1" t="str">
        <f>"Povh"</f>
        <v>Povh</v>
      </c>
      <c r="G826" s="1" t="str">
        <f>"negarestanabi"</f>
        <v>negarestanabi</v>
      </c>
      <c r="J826" s="1"/>
    </row>
    <row r="827" spans="1:10" x14ac:dyDescent="0.2">
      <c r="A827" s="1" t="str">
        <f>"Passive Microwave Remote Sensing of the Earth: for Meteorological Applications"</f>
        <v>Passive Microwave Remote Sensing of the Earth: for Meteorological Applications</v>
      </c>
      <c r="B827" s="1" t="str">
        <f>"9783527336272"</f>
        <v>9783527336272</v>
      </c>
      <c r="C827" s="1">
        <v>193.5</v>
      </c>
      <c r="D827" s="1" t="str">
        <f>"USD"</f>
        <v>USD</v>
      </c>
      <c r="E827" s="1" t="str">
        <f>"2017"</f>
        <v>2017</v>
      </c>
      <c r="F827" s="1" t="str">
        <f>"Weng"</f>
        <v>Weng</v>
      </c>
      <c r="G827" s="1" t="str">
        <f>"avanddanesh"</f>
        <v>avanddanesh</v>
      </c>
      <c r="J827" s="1"/>
    </row>
    <row r="828" spans="1:10" x14ac:dyDescent="0.2">
      <c r="A828" s="1" t="str">
        <f>"Path Dependence and New Path Creation in Renewable Energy Technologies"</f>
        <v>Path Dependence and New Path Creation in Renewable Energy Technologies</v>
      </c>
      <c r="B828" s="1" t="str">
        <f>"9781138024175"</f>
        <v>9781138024175</v>
      </c>
      <c r="C828" s="1">
        <v>76</v>
      </c>
      <c r="D828" s="1" t="str">
        <f>"GBP"</f>
        <v>GBP</v>
      </c>
      <c r="E828" s="1" t="str">
        <f>"2014"</f>
        <v>2014</v>
      </c>
      <c r="F828" s="1" t="str">
        <f>"James Simmie(Editor"</f>
        <v>James Simmie(Editor</v>
      </c>
      <c r="G828" s="1" t="str">
        <f>"AsarBartar"</f>
        <v>AsarBartar</v>
      </c>
      <c r="J828" s="1"/>
    </row>
    <row r="829" spans="1:10" x14ac:dyDescent="0.2">
      <c r="A829" s="1" t="str">
        <f>"Path Integrals for Pedestrians"</f>
        <v>Path Integrals for Pedestrians</v>
      </c>
      <c r="B829" s="1" t="str">
        <f>"9789814603935"</f>
        <v>9789814603935</v>
      </c>
      <c r="C829" s="1">
        <v>23.8</v>
      </c>
      <c r="D829" s="1" t="str">
        <f>"GBP"</f>
        <v>GBP</v>
      </c>
      <c r="E829" s="1" t="str">
        <f>"2016"</f>
        <v>2016</v>
      </c>
      <c r="F829" s="1" t="str">
        <f>"Ennio Gozzi, Enrico"</f>
        <v>Ennio Gozzi, Enrico</v>
      </c>
      <c r="G829" s="1" t="str">
        <f>"AsarBartar"</f>
        <v>AsarBartar</v>
      </c>
      <c r="J829" s="1"/>
    </row>
    <row r="830" spans="1:10" x14ac:dyDescent="0.2">
      <c r="A830" s="1" t="str">
        <f>"Path Integrals: New Trends and Perspectives: Proceedings of the 9th International Conference, Dresden, Germany, September 23-28, 2007"</f>
        <v>Path Integrals: New Trends and Perspectives: Proceedings of the 9th International Conference, Dresden, Germany, September 23-28, 2007</v>
      </c>
      <c r="B830" s="1" t="str">
        <f>"9789812837264"</f>
        <v>9789812837264</v>
      </c>
      <c r="C830" s="1">
        <v>57.37</v>
      </c>
      <c r="D830" s="1" t="str">
        <f>"USD"</f>
        <v>USD</v>
      </c>
      <c r="E830" s="1" t="str">
        <f>"2008"</f>
        <v>2008</v>
      </c>
      <c r="F830" s="1" t="str">
        <f>"Janke Wolfhard Et Al"</f>
        <v>Janke Wolfhard Et Al</v>
      </c>
      <c r="G830" s="1" t="str">
        <f>"kowkab"</f>
        <v>kowkab</v>
      </c>
      <c r="J830" s="1"/>
    </row>
    <row r="831" spans="1:10" x14ac:dyDescent="0.2">
      <c r="A831" s="1" t="str">
        <f>"Pathways to Modern Physical Chemistry: An Engineering Approach with Multidisciplinary Applications"</f>
        <v>Pathways to Modern Physical Chemistry: An Engineering Approach with Multidisciplinary Applications</v>
      </c>
      <c r="B831" s="1" t="str">
        <f>"9781771883221"</f>
        <v>9781771883221</v>
      </c>
      <c r="C831" s="1">
        <v>89.1</v>
      </c>
      <c r="D831" s="1" t="str">
        <f>"GBP"</f>
        <v>GBP</v>
      </c>
      <c r="E831" s="1" t="str">
        <f>"2016"</f>
        <v>2016</v>
      </c>
      <c r="F831" s="1" t="str">
        <f>"Wolf"</f>
        <v>Wolf</v>
      </c>
      <c r="G831" s="1" t="str">
        <f>"sal"</f>
        <v>sal</v>
      </c>
      <c r="J831" s="1"/>
    </row>
    <row r="832" spans="1:10" x14ac:dyDescent="0.2">
      <c r="A832" s="1" t="str">
        <f>"Pauli Exclusion Principle: Origin, Verifications, and Applications"</f>
        <v>Pauli Exclusion Principle: Origin, Verifications, and Applications</v>
      </c>
      <c r="B832" s="1" t="str">
        <f>"9781118795323"</f>
        <v>9781118795323</v>
      </c>
      <c r="C832" s="1">
        <v>102</v>
      </c>
      <c r="D832" s="1" t="str">
        <f>"USD"</f>
        <v>USD</v>
      </c>
      <c r="E832" s="1" t="str">
        <f>"2016"</f>
        <v>2016</v>
      </c>
      <c r="F832" s="1" t="str">
        <f>"Kaplan"</f>
        <v>Kaplan</v>
      </c>
      <c r="G832" s="1" t="str">
        <f>"avanddanesh"</f>
        <v>avanddanesh</v>
      </c>
      <c r="J832" s="1"/>
    </row>
    <row r="833" spans="1:10" x14ac:dyDescent="0.2">
      <c r="A833" s="1" t="str">
        <f>"Performance of Exemplar Buildings in Use: Bridging the Performance Gap"</f>
        <v>Performance of Exemplar Buildings in Use: Bridging the Performance Gap</v>
      </c>
      <c r="B833" s="1" t="str">
        <f>"9781848064324"</f>
        <v>9781848064324</v>
      </c>
      <c r="C833" s="1">
        <v>25.5</v>
      </c>
      <c r="D833" s="1" t="str">
        <f>"GBP"</f>
        <v>GBP</v>
      </c>
      <c r="E833" s="1" t="str">
        <f>"2016"</f>
        <v>2016</v>
      </c>
      <c r="F833" s="1" t="str">
        <f>"Yetunde Abdul(Edito"</f>
        <v>Yetunde Abdul(Edito</v>
      </c>
      <c r="G833" s="1" t="str">
        <f>"AsarBartar"</f>
        <v>AsarBartar</v>
      </c>
      <c r="J833" s="1"/>
    </row>
    <row r="834" spans="1:10" x14ac:dyDescent="0.2">
      <c r="A834" s="1" t="str">
        <f>"Perspectives on Statistical Thermodynamics"</f>
        <v>Perspectives on Statistical Thermodynamics</v>
      </c>
      <c r="B834" s="1" t="str">
        <f>"9781107154018"</f>
        <v>9781107154018</v>
      </c>
      <c r="C834" s="1">
        <v>46.8</v>
      </c>
      <c r="D834" s="1" t="str">
        <f>"GBP"</f>
        <v>GBP</v>
      </c>
      <c r="E834" s="1" t="str">
        <f>"2018"</f>
        <v>2018</v>
      </c>
      <c r="F834" s="1" t="str">
        <f>"Oono"</f>
        <v>Oono</v>
      </c>
      <c r="G834" s="1" t="str">
        <f>"arzinbooks"</f>
        <v>arzinbooks</v>
      </c>
      <c r="J834" s="1"/>
    </row>
    <row r="835" spans="1:10" x14ac:dyDescent="0.2">
      <c r="A835" s="1" t="str">
        <f>"Perturbative Algebraic Quantum Field Theory: An Introduction for Mathematicians"</f>
        <v>Perturbative Algebraic Quantum Field Theory: An Introduction for Mathematicians</v>
      </c>
      <c r="B835" s="1" t="str">
        <f>"9783319258997"</f>
        <v>9783319258997</v>
      </c>
      <c r="C835" s="1">
        <v>62.99</v>
      </c>
      <c r="D835" s="1" t="str">
        <f>"EUR"</f>
        <v>EUR</v>
      </c>
      <c r="E835" s="1" t="str">
        <f>"2016"</f>
        <v>2016</v>
      </c>
      <c r="F835" s="1" t="str">
        <f>"Rejzner"</f>
        <v>Rejzner</v>
      </c>
      <c r="G835" s="1" t="str">
        <f>"negarestanabi"</f>
        <v>negarestanabi</v>
      </c>
      <c r="J835" s="1"/>
    </row>
    <row r="836" spans="1:10" x14ac:dyDescent="0.2">
      <c r="A836" s="1" t="str">
        <f>"Philosophy of Physics"</f>
        <v>Philosophy of Physics</v>
      </c>
      <c r="B836" s="1" t="str">
        <f>"9780745669823"</f>
        <v>9780745669823</v>
      </c>
      <c r="C836" s="1">
        <v>21.2</v>
      </c>
      <c r="D836" s="1" t="str">
        <f>"USD"</f>
        <v>USD</v>
      </c>
      <c r="E836" s="1" t="str">
        <f>"2016"</f>
        <v>2016</v>
      </c>
      <c r="F836" s="1" t="str">
        <f>"Rickles"</f>
        <v>Rickles</v>
      </c>
      <c r="G836" s="1" t="str">
        <f>"avanddanesh"</f>
        <v>avanddanesh</v>
      </c>
      <c r="J836" s="1"/>
    </row>
    <row r="837" spans="1:10" x14ac:dyDescent="0.2">
      <c r="A837" s="1" t="str">
        <f>"Phononics, Interface Transmission Tutorial Book Series"</f>
        <v>Phononics, Interface Transmission Tutorial Book Series</v>
      </c>
      <c r="B837" s="1" t="str">
        <f>"9780128099469"</f>
        <v>9780128099469</v>
      </c>
      <c r="C837" s="1">
        <v>135</v>
      </c>
      <c r="D837" s="1" t="str">
        <f>"USD"</f>
        <v>USD</v>
      </c>
      <c r="E837" s="1" t="str">
        <f>"2017"</f>
        <v>2017</v>
      </c>
      <c r="F837" s="1" t="str">
        <f>"Dobrzynski"</f>
        <v>Dobrzynski</v>
      </c>
      <c r="G837" s="1" t="str">
        <f>"dehkadehketab"</f>
        <v>dehkadehketab</v>
      </c>
      <c r="J837" s="1"/>
    </row>
    <row r="838" spans="1:10" x14ac:dyDescent="0.2">
      <c r="A838" s="1" t="str">
        <f>"Photo-induced Defects in Semiconductors"</f>
        <v>Photo-induced Defects in Semiconductors</v>
      </c>
      <c r="B838" s="1" t="str">
        <f>"9780521024457"</f>
        <v>9780521024457</v>
      </c>
      <c r="C838" s="1">
        <v>24.57</v>
      </c>
      <c r="D838" s="1" t="str">
        <f>"USD"</f>
        <v>USD</v>
      </c>
      <c r="E838" s="1" t="str">
        <f>"2006"</f>
        <v>2006</v>
      </c>
      <c r="F838" s="1" t="str">
        <f>"David Redfield, Rich"</f>
        <v>David Redfield, Rich</v>
      </c>
      <c r="G838" s="1" t="str">
        <f>"safirketab"</f>
        <v>safirketab</v>
      </c>
      <c r="J838" s="1"/>
    </row>
    <row r="839" spans="1:10" x14ac:dyDescent="0.2">
      <c r="A839" s="1" t="str">
        <f>"Photometry. Radiometry. and Measurements of Optical Losses. 2/ed"</f>
        <v>Photometry. Radiometry. and Measurements of Optical Losses. 2/ed</v>
      </c>
      <c r="B839" s="1" t="str">
        <f>"9789811077449"</f>
        <v>9789811077449</v>
      </c>
      <c r="C839" s="1">
        <v>251.1</v>
      </c>
      <c r="D839" s="1" t="str">
        <f>"EUR"</f>
        <v>EUR</v>
      </c>
      <c r="E839" s="1" t="str">
        <f>"2018"</f>
        <v>2018</v>
      </c>
      <c r="F839" s="1" t="str">
        <f>"Bukshtab"</f>
        <v>Bukshtab</v>
      </c>
      <c r="G839" s="1" t="str">
        <f>"negarestanabi"</f>
        <v>negarestanabi</v>
      </c>
      <c r="J839" s="1"/>
    </row>
    <row r="840" spans="1:10" x14ac:dyDescent="0.2">
      <c r="A840" s="1" t="str">
        <f>"Photon Management Assisted by Surface Waves on Photonic Crystals"</f>
        <v>Photon Management Assisted by Surface Waves on Photonic Crystals</v>
      </c>
      <c r="B840" s="1" t="str">
        <f>"9783319501338"</f>
        <v>9783319501338</v>
      </c>
      <c r="C840" s="1">
        <v>80.989999999999995</v>
      </c>
      <c r="D840" s="1" t="str">
        <f>"EUR"</f>
        <v>EUR</v>
      </c>
      <c r="E840" s="1" t="str">
        <f>"2017"</f>
        <v>2017</v>
      </c>
      <c r="F840" s="1" t="str">
        <f>"Angelini"</f>
        <v>Angelini</v>
      </c>
      <c r="G840" s="1" t="str">
        <f>"negarestanabi"</f>
        <v>negarestanabi</v>
      </c>
      <c r="J840" s="1"/>
    </row>
    <row r="841" spans="1:10" x14ac:dyDescent="0.2">
      <c r="A841" s="1" t="str">
        <f>"Photon Management in Solar Cells"</f>
        <v>Photon Management in Solar Cells</v>
      </c>
      <c r="B841" s="1" t="str">
        <f>"9783527411757"</f>
        <v>9783527411757</v>
      </c>
      <c r="C841" s="1">
        <v>152</v>
      </c>
      <c r="D841" s="1" t="str">
        <f>"USD"</f>
        <v>USD</v>
      </c>
      <c r="E841" s="1" t="str">
        <f>"2015"</f>
        <v>2015</v>
      </c>
      <c r="F841" s="1" t="str">
        <f>"Wehrspohn"</f>
        <v>Wehrspohn</v>
      </c>
      <c r="G841" s="1" t="str">
        <f>"avanddanesh"</f>
        <v>avanddanesh</v>
      </c>
      <c r="J841" s="1"/>
    </row>
    <row r="842" spans="1:10" x14ac:dyDescent="0.2">
      <c r="A842" s="1" t="str">
        <f>"Photonics and Electronics with Germanium"</f>
        <v>Photonics and Electronics with Germanium</v>
      </c>
      <c r="B842" s="1" t="str">
        <f>"9783527328215"</f>
        <v>9783527328215</v>
      </c>
      <c r="C842" s="1">
        <v>152</v>
      </c>
      <c r="D842" s="1" t="str">
        <f>"USD"</f>
        <v>USD</v>
      </c>
      <c r="E842" s="1" t="str">
        <f>"2015"</f>
        <v>2015</v>
      </c>
      <c r="F842" s="1" t="str">
        <f>"Wada"</f>
        <v>Wada</v>
      </c>
      <c r="G842" s="1" t="str">
        <f>"avanddanesh"</f>
        <v>avanddanesh</v>
      </c>
      <c r="J842" s="1"/>
    </row>
    <row r="843" spans="1:10" x14ac:dyDescent="0.2">
      <c r="A843" s="1" t="str">
        <f>"Photophysics of Molecular Materials: From Single Molecules to Single Crystals"</f>
        <v>Photophysics of Molecular Materials: From Single Molecules to Single Crystals</v>
      </c>
      <c r="B843" s="1" t="str">
        <f>"9783527404568"</f>
        <v>9783527404568</v>
      </c>
      <c r="C843" s="1">
        <v>174</v>
      </c>
      <c r="D843" s="1" t="str">
        <f>"USD"</f>
        <v>USD</v>
      </c>
      <c r="E843" s="1" t="str">
        <f>"2006"</f>
        <v>2006</v>
      </c>
      <c r="F843" s="1" t="str">
        <f>"Atomic, Molecular &amp; "</f>
        <v xml:space="preserve">Atomic, Molecular &amp; </v>
      </c>
      <c r="G843" s="1" t="str">
        <f>"safirketab"</f>
        <v>safirketab</v>
      </c>
      <c r="J843" s="1"/>
    </row>
    <row r="844" spans="1:10" x14ac:dyDescent="0.2">
      <c r="A844" s="1" t="str">
        <f>"Photovoltaic System Design: Procedures, Tools and Applications"</f>
        <v>Photovoltaic System Design: Procedures, Tools and Applications</v>
      </c>
      <c r="B844" s="1" t="str">
        <f>"9781482259803"</f>
        <v>9781482259803</v>
      </c>
      <c r="C844" s="1">
        <v>69.290000000000006</v>
      </c>
      <c r="D844" s="1" t="str">
        <f>"GBP"</f>
        <v>GBP</v>
      </c>
      <c r="E844" s="1" t="str">
        <f>"2016"</f>
        <v>2016</v>
      </c>
      <c r="F844" s="1" t="str">
        <f>"DEAMBI"</f>
        <v>DEAMBI</v>
      </c>
      <c r="G844" s="1" t="str">
        <f>"sal"</f>
        <v>sal</v>
      </c>
      <c r="J844" s="1"/>
    </row>
    <row r="845" spans="1:10" x14ac:dyDescent="0.2">
      <c r="A845" s="1" t="str">
        <f>"Physical Acoustics in the Solid State"</f>
        <v>Physical Acoustics in the Solid State</v>
      </c>
      <c r="B845" s="1" t="str">
        <f>"9783540229100"</f>
        <v>9783540229100</v>
      </c>
      <c r="C845" s="1">
        <v>136</v>
      </c>
      <c r="D845" s="1" t="str">
        <f>"USD"</f>
        <v>USD</v>
      </c>
      <c r="E845" s="1" t="str">
        <f>"2005"</f>
        <v>2005</v>
      </c>
      <c r="F845" s="1" t="str">
        <f>"LÃ¼thi,B."</f>
        <v>LÃ¼thi,B.</v>
      </c>
      <c r="G845" s="1" t="str">
        <f>"safirketab"</f>
        <v>safirketab</v>
      </c>
      <c r="J845" s="1"/>
    </row>
    <row r="846" spans="1:10" x14ac:dyDescent="0.2">
      <c r="A846" s="1" t="str">
        <f>"Physical and Chemical Aspects of Organic Electronics:From Fundamentals to Functioning Devices"</f>
        <v>Physical and Chemical Aspects of Organic Electronics:From Fundamentals to Functioning Devices</v>
      </c>
      <c r="B846" s="1" t="str">
        <f>"9783527408108"</f>
        <v>9783527408108</v>
      </c>
      <c r="C846" s="1">
        <v>93.75</v>
      </c>
      <c r="D846" s="1" t="str">
        <f>"USD"</f>
        <v>USD</v>
      </c>
      <c r="E846" s="1" t="str">
        <f>"2009"</f>
        <v>2009</v>
      </c>
      <c r="F846" s="1" t="str">
        <f>"W?ll"</f>
        <v>W?ll</v>
      </c>
      <c r="G846" s="1" t="str">
        <f>"safirketab"</f>
        <v>safirketab</v>
      </c>
      <c r="J846" s="1"/>
    </row>
    <row r="847" spans="1:10" x14ac:dyDescent="0.2">
      <c r="A847" s="1" t="str">
        <f>"Physical Aspects of Organs and Imaging"</f>
        <v>Physical Aspects of Organs and Imaging</v>
      </c>
      <c r="B847" s="1" t="str">
        <f>"9783110372816"</f>
        <v>9783110372816</v>
      </c>
      <c r="C847" s="1">
        <v>49.45</v>
      </c>
      <c r="D847" s="1" t="str">
        <f>"EUR"</f>
        <v>EUR</v>
      </c>
      <c r="E847" s="1" t="str">
        <f>"2017"</f>
        <v>2017</v>
      </c>
      <c r="F847" s="1" t="str">
        <f>"Zabel, Hartmut"</f>
        <v>Zabel, Hartmut</v>
      </c>
      <c r="G847" s="1" t="str">
        <f>"AsarBartar"</f>
        <v>AsarBartar</v>
      </c>
      <c r="J847" s="1"/>
    </row>
    <row r="848" spans="1:10" x14ac:dyDescent="0.2">
      <c r="A848" s="1" t="str">
        <f>"PHYSICAL BASIS OF PLASTICITY IN SOLIDS"</f>
        <v>PHYSICAL BASIS OF PLASTICITY IN SOLIDS</v>
      </c>
      <c r="B848" s="1" t="str">
        <f>"9789814374057"</f>
        <v>9789814374057</v>
      </c>
      <c r="C848" s="1">
        <v>43.8</v>
      </c>
      <c r="D848" s="1" t="str">
        <f>"GBP"</f>
        <v>GBP</v>
      </c>
      <c r="E848" s="1" t="str">
        <f>"2012"</f>
        <v>2012</v>
      </c>
      <c r="F848" s="1" t="str">
        <f>"TOLEDANO JEAN CLAUD"</f>
        <v>TOLEDANO JEAN CLAUD</v>
      </c>
      <c r="G848" s="1" t="str">
        <f>"AsarBartar"</f>
        <v>AsarBartar</v>
      </c>
      <c r="J848" s="1"/>
    </row>
    <row r="849" spans="1:10" x14ac:dyDescent="0.2">
      <c r="A849" s="1" t="str">
        <f>"Physical Chemistry for the Chemical Sciences"</f>
        <v>Physical Chemistry for the Chemical Sciences</v>
      </c>
      <c r="B849" s="1" t="str">
        <f>"9781782620877"</f>
        <v>9781782620877</v>
      </c>
      <c r="C849" s="1">
        <v>27.5</v>
      </c>
      <c r="D849" s="1" t="str">
        <f>"GBP"</f>
        <v>GBP</v>
      </c>
      <c r="E849" s="1" t="str">
        <f>"2014"</f>
        <v>2014</v>
      </c>
      <c r="F849" s="1" t="str">
        <f>"RAYMOND CHANGÂ JOHN W"</f>
        <v>RAYMOND CHANGÂ JOHN W</v>
      </c>
      <c r="G849" s="1" t="str">
        <f>"arzinbooks"</f>
        <v>arzinbooks</v>
      </c>
      <c r="J849" s="1"/>
    </row>
    <row r="850" spans="1:10" x14ac:dyDescent="0.2">
      <c r="A850" s="1" t="str">
        <f>"PHYSICAL EFFECTS OF GEOMETRIC PHASES"</f>
        <v>PHYSICAL EFFECTS OF GEOMETRIC PHASES</v>
      </c>
      <c r="B850" s="1" t="str">
        <f>"9789813225725"</f>
        <v>9789813225725</v>
      </c>
      <c r="C850" s="1">
        <v>117</v>
      </c>
      <c r="D850" s="1" t="str">
        <f>"GBP"</f>
        <v>GBP</v>
      </c>
      <c r="E850" s="1" t="str">
        <f>"2017"</f>
        <v>2017</v>
      </c>
      <c r="F850" s="1" t="str">
        <f>"NIU QIAN ET AL"</f>
        <v>NIU QIAN ET AL</v>
      </c>
      <c r="G850" s="1" t="str">
        <f>"AsarBartar"</f>
        <v>AsarBartar</v>
      </c>
      <c r="J850" s="1"/>
    </row>
    <row r="851" spans="1:10" x14ac:dyDescent="0.2">
      <c r="A851" s="1" t="str">
        <f>"PHYSICAL FOUNDATIONS OF QUANTUM ELECTRONICS BY DAVID KLYSHKO"</f>
        <v>PHYSICAL FOUNDATIONS OF QUANTUM ELECTRONICS BY DAVID KLYSHKO</v>
      </c>
      <c r="B851" s="1" t="str">
        <f>"9789814324502"</f>
        <v>9789814324502</v>
      </c>
      <c r="C851" s="1">
        <v>23.1</v>
      </c>
      <c r="D851" s="1" t="str">
        <f>"GBP"</f>
        <v>GBP</v>
      </c>
      <c r="E851" s="1" t="str">
        <f>"2011"</f>
        <v>2011</v>
      </c>
      <c r="F851" s="1" t="str">
        <f>"CHEKHOVA MARIA ET A"</f>
        <v>CHEKHOVA MARIA ET A</v>
      </c>
      <c r="G851" s="1" t="str">
        <f>"AsarBartar"</f>
        <v>AsarBartar</v>
      </c>
      <c r="J851" s="1"/>
    </row>
    <row r="852" spans="1:10" x14ac:dyDescent="0.2">
      <c r="A852" s="1" t="str">
        <f>"Physical Methods for Materials Characterisation, Third Edition (Series in Materials Science and Engineering)"</f>
        <v>Physical Methods for Materials Characterisation, Third Edition (Series in Materials Science and Engineering)</v>
      </c>
      <c r="B852" s="1" t="str">
        <f>"9781482245233"</f>
        <v>9781482245233</v>
      </c>
      <c r="C852" s="1">
        <v>73.8</v>
      </c>
      <c r="D852" s="1" t="str">
        <f>"GBP"</f>
        <v>GBP</v>
      </c>
      <c r="E852" s="1" t="str">
        <f>"2017"</f>
        <v>2017</v>
      </c>
      <c r="F852" s="1" t="str">
        <f>"FLEWITT"</f>
        <v>FLEWITT</v>
      </c>
      <c r="G852" s="1" t="str">
        <f>"sal"</f>
        <v>sal</v>
      </c>
      <c r="J852" s="1"/>
    </row>
    <row r="853" spans="1:10" x14ac:dyDescent="0.2">
      <c r="A853" s="1" t="str">
        <f>"Physical Properties of High-Temperature Superconductors"</f>
        <v>Physical Properties of High-Temperature Superconductors</v>
      </c>
      <c r="B853" s="1" t="str">
        <f>"9781119978817"</f>
        <v>9781119978817</v>
      </c>
      <c r="C853" s="1">
        <v>120</v>
      </c>
      <c r="D853" s="1" t="str">
        <f>"USD"</f>
        <v>USD</v>
      </c>
      <c r="E853" s="1" t="str">
        <f>"2015"</f>
        <v>2015</v>
      </c>
      <c r="F853" s="1" t="str">
        <f>"Wesche"</f>
        <v>Wesche</v>
      </c>
      <c r="G853" s="1" t="str">
        <f>"avanddanesh"</f>
        <v>avanddanesh</v>
      </c>
      <c r="J853" s="1"/>
    </row>
    <row r="854" spans="1:10" x14ac:dyDescent="0.2">
      <c r="A854" s="1" t="str">
        <f>"Physics And Applications of Complex Plasmas"</f>
        <v>Physics And Applications of Complex Plasmas</v>
      </c>
      <c r="B854" s="1" t="str">
        <f>"9781860945724"</f>
        <v>9781860945724</v>
      </c>
      <c r="C854" s="1">
        <v>37.5</v>
      </c>
      <c r="D854" s="1" t="str">
        <f>"GBP"</f>
        <v>GBP</v>
      </c>
      <c r="E854" s="1" t="str">
        <f>"2005"</f>
        <v>2005</v>
      </c>
      <c r="F854" s="1" t="str">
        <f>"Vladimirov Serg"</f>
        <v>Vladimirov Serg</v>
      </c>
      <c r="G854" s="1" t="str">
        <f>"kowkab"</f>
        <v>kowkab</v>
      </c>
      <c r="J854" s="1"/>
    </row>
    <row r="855" spans="1:10" x14ac:dyDescent="0.2">
      <c r="A855" s="1" t="str">
        <f>"Physics and Engineering of Compact Quantum Dot-based Lasers for Biophotonics"</f>
        <v>Physics and Engineering of Compact Quantum Dot-based Lasers for Biophotonics</v>
      </c>
      <c r="B855" s="1" t="str">
        <f>"9783527411849"</f>
        <v>9783527411849</v>
      </c>
      <c r="C855" s="1">
        <v>108.8</v>
      </c>
      <c r="D855" s="1" t="str">
        <f>"USD"</f>
        <v>USD</v>
      </c>
      <c r="E855" s="1" t="str">
        <f>"2014"</f>
        <v>2014</v>
      </c>
      <c r="F855" s="1" t="str">
        <f>"Rafailov"</f>
        <v>Rafailov</v>
      </c>
      <c r="G855" s="1" t="str">
        <f>"avanddanesh"</f>
        <v>avanddanesh</v>
      </c>
      <c r="J855" s="1"/>
    </row>
    <row r="856" spans="1:10" x14ac:dyDescent="0.2">
      <c r="A856" s="1" t="str">
        <f>"Physics and Engineering of Radiation Detection, 2nd Edition"</f>
        <v>Physics and Engineering of Radiation Detection, 2nd Edition</v>
      </c>
      <c r="B856" s="1" t="str">
        <f>"9780128101285"</f>
        <v>9780128101285</v>
      </c>
      <c r="C856" s="1">
        <v>112.5</v>
      </c>
      <c r="D856" s="1" t="str">
        <f>"USD"</f>
        <v>USD</v>
      </c>
      <c r="E856" s="1" t="str">
        <f>"2017"</f>
        <v>2017</v>
      </c>
      <c r="F856" s="1" t="str">
        <f>"Ahmed"</f>
        <v>Ahmed</v>
      </c>
      <c r="G856" s="1" t="str">
        <f>"dehkadehketab"</f>
        <v>dehkadehketab</v>
      </c>
      <c r="J856" s="1"/>
    </row>
    <row r="857" spans="1:10" x14ac:dyDescent="0.2">
      <c r="A857" s="1" t="str">
        <f>"Physics and Mathematical Tools: Methods and Examples"</f>
        <v>Physics and Mathematical Tools: Methods and Examples</v>
      </c>
      <c r="B857" s="1" t="str">
        <f>"9789814713245"</f>
        <v>9789814713245</v>
      </c>
      <c r="C857" s="1">
        <v>40.799999999999997</v>
      </c>
      <c r="D857" s="1" t="str">
        <f>"GBP"</f>
        <v>GBP</v>
      </c>
      <c r="E857" s="1" t="str">
        <f>"2016"</f>
        <v>2016</v>
      </c>
      <c r="F857" s="1" t="str">
        <f>"ANGEL ALASTUEY, MAX"</f>
        <v>ANGEL ALASTUEY, MAX</v>
      </c>
      <c r="G857" s="1" t="str">
        <f>"AsarBartar"</f>
        <v>AsarBartar</v>
      </c>
      <c r="J857" s="1"/>
    </row>
    <row r="858" spans="1:10" x14ac:dyDescent="0.2">
      <c r="A858" s="1" t="str">
        <f>"PHYSICS AND OUR WORLD: A SYMPOSIUM IN HONOR OF VICTOR F WEISSKOPF (NEW REPRINT EDITION)"</f>
        <v>PHYSICS AND OUR WORLD: A SYMPOSIUM IN HONOR OF VICTOR F WEISSKOPF (NEW REPRINT EDITION)</v>
      </c>
      <c r="B858" s="1" t="str">
        <f>"9789814434966"</f>
        <v>9789814434966</v>
      </c>
      <c r="C858" s="1">
        <v>44.8</v>
      </c>
      <c r="D858" s="1" t="str">
        <f>"GBP"</f>
        <v>GBP</v>
      </c>
      <c r="E858" s="1" t="str">
        <f>"2014"</f>
        <v>2014</v>
      </c>
      <c r="F858" s="1" t="str">
        <f>"HUANG KERSON"</f>
        <v>HUANG KERSON</v>
      </c>
      <c r="G858" s="1" t="str">
        <f>"AsarBartar"</f>
        <v>AsarBartar</v>
      </c>
      <c r="J858" s="1"/>
    </row>
    <row r="859" spans="1:10" x14ac:dyDescent="0.2">
      <c r="A859" s="1" t="str">
        <f>"Physics at the Terascale"</f>
        <v>Physics at the Terascale</v>
      </c>
      <c r="B859" s="1" t="str">
        <f>"9783527410019"</f>
        <v>9783527410019</v>
      </c>
      <c r="C859" s="1">
        <v>76.8</v>
      </c>
      <c r="D859" s="1" t="str">
        <f>"USD"</f>
        <v>USD</v>
      </c>
      <c r="E859" s="1" t="str">
        <f>"2011"</f>
        <v>2011</v>
      </c>
      <c r="F859" s="1" t="str">
        <f>"Brock"</f>
        <v>Brock</v>
      </c>
      <c r="G859" s="1" t="str">
        <f>"avanddanesh"</f>
        <v>avanddanesh</v>
      </c>
      <c r="J859" s="1"/>
    </row>
    <row r="860" spans="1:10" x14ac:dyDescent="0.2">
      <c r="A860" s="1" t="str">
        <f>"Physics for Engineers, 2/ed â€…â€‚"</f>
        <v>Physics for Engineers, 2/ed â€…â€‚</v>
      </c>
      <c r="B860" s="1" t="str">
        <f>"9788120353114"</f>
        <v>9788120353114</v>
      </c>
      <c r="C860" s="1">
        <v>16.07</v>
      </c>
      <c r="D860" s="1" t="str">
        <f>"USD"</f>
        <v>USD</v>
      </c>
      <c r="E860" s="1" t="str">
        <f>"2017"</f>
        <v>2017</v>
      </c>
      <c r="F860" s="1" t="str">
        <f>"Verma"</f>
        <v>Verma</v>
      </c>
      <c r="G860" s="1" t="str">
        <f>"negarestanabi"</f>
        <v>negarestanabi</v>
      </c>
      <c r="J860" s="1"/>
    </row>
    <row r="861" spans="1:10" x14ac:dyDescent="0.2">
      <c r="A861" s="1" t="str">
        <f>"PHYSICS FOR THE LIFE SCIENCES"</f>
        <v>PHYSICS FOR THE LIFE SCIENCES</v>
      </c>
      <c r="B861" s="1" t="str">
        <f>"9780176558697"</f>
        <v>9780176558697</v>
      </c>
      <c r="C861" s="1">
        <v>52.2</v>
      </c>
      <c r="D861" s="1" t="str">
        <f>"GBP"</f>
        <v>GBP</v>
      </c>
      <c r="E861" s="1" t="str">
        <f>"2017"</f>
        <v>2017</v>
      </c>
      <c r="F861" s="1" t="str">
        <f>"Martin Zinke-Allmag"</f>
        <v>Martin Zinke-Allmag</v>
      </c>
      <c r="G861" s="1" t="str">
        <f>"AsarBartar"</f>
        <v>AsarBartar</v>
      </c>
      <c r="J861" s="1"/>
    </row>
    <row r="862" spans="1:10" x14ac:dyDescent="0.2">
      <c r="A862" s="1" t="str">
        <f>"Physics from Symmetry. 2/ed"</f>
        <v>Physics from Symmetry. 2/ed</v>
      </c>
      <c r="B862" s="1" t="str">
        <f>"9783319666303"</f>
        <v>9783319666303</v>
      </c>
      <c r="C862" s="1">
        <v>40.49</v>
      </c>
      <c r="D862" s="1" t="str">
        <f>"EUR"</f>
        <v>EUR</v>
      </c>
      <c r="E862" s="1" t="str">
        <f>"2018"</f>
        <v>2018</v>
      </c>
      <c r="F862" s="1" t="str">
        <f>"Schwichtenberg"</f>
        <v>Schwichtenberg</v>
      </c>
      <c r="G862" s="1" t="str">
        <f>"negarestanabi"</f>
        <v>negarestanabi</v>
      </c>
      <c r="J862" s="1"/>
    </row>
    <row r="863" spans="1:10" x14ac:dyDescent="0.2">
      <c r="A863" s="1" t="str">
        <f>"Physics I Workbook For Dummies,2e"</f>
        <v>Physics I Workbook For Dummies,2e</v>
      </c>
      <c r="B863" s="1" t="str">
        <f>"9781118825778"</f>
        <v>9781118825778</v>
      </c>
      <c r="C863" s="1">
        <v>15</v>
      </c>
      <c r="D863" s="1" t="str">
        <f>"USD"</f>
        <v>USD</v>
      </c>
      <c r="E863" s="1" t="str">
        <f>"2014"</f>
        <v>2014</v>
      </c>
      <c r="F863" s="1" t="str">
        <f>"Holzner"</f>
        <v>Holzner</v>
      </c>
      <c r="G863" s="1" t="str">
        <f>"avanddanesh"</f>
        <v>avanddanesh</v>
      </c>
      <c r="J863" s="1"/>
    </row>
    <row r="864" spans="1:10" x14ac:dyDescent="0.2">
      <c r="A864" s="1" t="str">
        <f>"Physics Matters WSE"</f>
        <v>Physics Matters WSE</v>
      </c>
      <c r="B864" s="1" t="str">
        <f>"9780471150589"</f>
        <v>9780471150589</v>
      </c>
      <c r="C864" s="1">
        <v>25.2</v>
      </c>
      <c r="D864" s="1" t="str">
        <f>"USD"</f>
        <v>USD</v>
      </c>
      <c r="E864" s="1" t="str">
        <f>"2004"</f>
        <v>2004</v>
      </c>
      <c r="F864" s="1" t="str">
        <f>"Trefil"</f>
        <v>Trefil</v>
      </c>
      <c r="G864" s="1" t="str">
        <f>"safirketab"</f>
        <v>safirketab</v>
      </c>
      <c r="J864" s="1"/>
    </row>
    <row r="865" spans="1:10" x14ac:dyDescent="0.2">
      <c r="A865" s="1" t="str">
        <f>"Physics of Atomic Nuclei"</f>
        <v>Physics of Atomic Nuclei</v>
      </c>
      <c r="B865" s="1" t="str">
        <f>"9783527413508"</f>
        <v>9783527413508</v>
      </c>
      <c r="C865" s="1">
        <v>148.5</v>
      </c>
      <c r="D865" s="1" t="str">
        <f>"USD"</f>
        <v>USD</v>
      </c>
      <c r="E865" s="1" t="str">
        <f t="shared" ref="E865:E870" si="22">"2017"</f>
        <v>2017</v>
      </c>
      <c r="F865" s="1" t="str">
        <f>"Zelevinsky"</f>
        <v>Zelevinsky</v>
      </c>
      <c r="G865" s="1" t="str">
        <f>"avanddanesh"</f>
        <v>avanddanesh</v>
      </c>
      <c r="J865" s="1"/>
    </row>
    <row r="866" spans="1:10" x14ac:dyDescent="0.2">
      <c r="A866" s="1" t="str">
        <f>"Physics of Atoms, Molecures, Solids and Nuclei"</f>
        <v>Physics of Atoms, Molecures, Solids and Nuclei</v>
      </c>
      <c r="B866" s="1" t="str">
        <f>"9781783322862"</f>
        <v>9781783322862</v>
      </c>
      <c r="C866" s="1">
        <v>41.96</v>
      </c>
      <c r="D866" s="1" t="str">
        <f>"GBP"</f>
        <v>GBP</v>
      </c>
      <c r="E866" s="1" t="str">
        <f t="shared" si="22"/>
        <v>2017</v>
      </c>
      <c r="F866" s="1" t="str">
        <f>"Jain"</f>
        <v>Jain</v>
      </c>
      <c r="G866" s="1" t="str">
        <f>"safirketab"</f>
        <v>safirketab</v>
      </c>
      <c r="J866" s="1"/>
    </row>
    <row r="867" spans="1:10" x14ac:dyDescent="0.2">
      <c r="A867" s="1" t="str">
        <f>"Physics of Atoms, Molecures, Solids and Nuclei"</f>
        <v>Physics of Atoms, Molecures, Solids and Nuclei</v>
      </c>
      <c r="B867" s="1" t="str">
        <f>"9781783322862"</f>
        <v>9781783322862</v>
      </c>
      <c r="C867" s="1">
        <v>41.97</v>
      </c>
      <c r="D867" s="1" t="str">
        <f>"GBP"</f>
        <v>GBP</v>
      </c>
      <c r="E867" s="1" t="str">
        <f t="shared" si="22"/>
        <v>2017</v>
      </c>
      <c r="F867" s="1" t="str">
        <f>"Jain"</f>
        <v>Jain</v>
      </c>
      <c r="G867" s="1" t="str">
        <f>"jahanadib"</f>
        <v>jahanadib</v>
      </c>
      <c r="J867" s="1"/>
    </row>
    <row r="868" spans="1:10" x14ac:dyDescent="0.2">
      <c r="A868" s="1" t="str">
        <f>"Physics of Electronic Materials: Principles and Applications"</f>
        <v>Physics of Electronic Materials: Principles and Applications</v>
      </c>
      <c r="B868" s="1" t="str">
        <f>"9781107084940"</f>
        <v>9781107084940</v>
      </c>
      <c r="C868" s="1">
        <v>41.3</v>
      </c>
      <c r="D868" s="1" t="str">
        <f>"GBP"</f>
        <v>GBP</v>
      </c>
      <c r="E868" s="1" t="str">
        <f t="shared" si="22"/>
        <v>2017</v>
      </c>
      <c r="F868" s="1" t="str">
        <f>"J?rgen Rammer"</f>
        <v>J?rgen Rammer</v>
      </c>
      <c r="G868" s="1" t="str">
        <f>"arzinbooks"</f>
        <v>arzinbooks</v>
      </c>
      <c r="J868" s="1"/>
    </row>
    <row r="869" spans="1:10" x14ac:dyDescent="0.2">
      <c r="A869" s="1" t="str">
        <f>"Physics of Energy Sources"</f>
        <v>Physics of Energy Sources</v>
      </c>
      <c r="B869" s="1" t="str">
        <f>"9781119961680"</f>
        <v>9781119961680</v>
      </c>
      <c r="C869" s="1">
        <v>54</v>
      </c>
      <c r="D869" s="1" t="str">
        <f>"USD"</f>
        <v>USD</v>
      </c>
      <c r="E869" s="1" t="str">
        <f t="shared" si="22"/>
        <v>2017</v>
      </c>
      <c r="F869" s="1" t="str">
        <f>"King"</f>
        <v>King</v>
      </c>
      <c r="G869" s="1" t="str">
        <f>"avanddanesh"</f>
        <v>avanddanesh</v>
      </c>
      <c r="J869" s="1"/>
    </row>
    <row r="870" spans="1:10" x14ac:dyDescent="0.2">
      <c r="A870" s="1" t="str">
        <f>"PHYSICS OF LOW DIMENSIONAL MATERIALS, THE"</f>
        <v>PHYSICS OF LOW DIMENSIONAL MATERIALS, THE</v>
      </c>
      <c r="B870" s="1" t="str">
        <f>"9789813225855"</f>
        <v>9789813225855</v>
      </c>
      <c r="C870" s="1">
        <v>69.3</v>
      </c>
      <c r="D870" s="1" t="str">
        <f>"GBP"</f>
        <v>GBP</v>
      </c>
      <c r="E870" s="1" t="str">
        <f t="shared" si="22"/>
        <v>2017</v>
      </c>
      <c r="F870" s="1" t="str">
        <f>"OWENS FRANK J"</f>
        <v>OWENS FRANK J</v>
      </c>
      <c r="G870" s="1" t="str">
        <f>"AsarBartar"</f>
        <v>AsarBartar</v>
      </c>
      <c r="J870" s="1"/>
    </row>
    <row r="871" spans="1:10" x14ac:dyDescent="0.2">
      <c r="A871" s="1" t="str">
        <f>"PHYSICS OF SAILING"</f>
        <v>PHYSICS OF SAILING</v>
      </c>
      <c r="B871" s="1" t="str">
        <f>"9781420073768"</f>
        <v>9781420073768</v>
      </c>
      <c r="C871" s="1">
        <v>9.59</v>
      </c>
      <c r="D871" s="1" t="str">
        <f>"GBP"</f>
        <v>GBP</v>
      </c>
      <c r="E871" s="1" t="str">
        <f>"2010"</f>
        <v>2010</v>
      </c>
      <c r="F871" s="1" t="str">
        <f>"KIMBALL, JOHN|"</f>
        <v>KIMBALL, JOHN|</v>
      </c>
      <c r="G871" s="1" t="str">
        <f>"AsarBartar"</f>
        <v>AsarBartar</v>
      </c>
      <c r="J871" s="1"/>
    </row>
    <row r="872" spans="1:10" x14ac:dyDescent="0.2">
      <c r="A872" s="1" t="str">
        <f>"Physics of Self-Organization and Evolution"</f>
        <v>Physics of Self-Organization and Evolution</v>
      </c>
      <c r="B872" s="1" t="str">
        <f>"9783527409631"</f>
        <v>9783527409631</v>
      </c>
      <c r="C872" s="1">
        <v>89.6</v>
      </c>
      <c r="D872" s="1" t="str">
        <f>"USD"</f>
        <v>USD</v>
      </c>
      <c r="E872" s="1" t="str">
        <f>"2011"</f>
        <v>2011</v>
      </c>
      <c r="F872" s="1" t="str">
        <f>"Ebeling"</f>
        <v>Ebeling</v>
      </c>
      <c r="G872" s="1" t="str">
        <f>"avanddanesh"</f>
        <v>avanddanesh</v>
      </c>
      <c r="J872" s="1"/>
    </row>
    <row r="873" spans="1:10" x14ac:dyDescent="0.2">
      <c r="A873" s="1" t="str">
        <f>"Physics of Solar Cells: From Basic Principles to Advanced Concepts,3e"</f>
        <v>Physics of Solar Cells: From Basic Principles to Advanced Concepts,3e</v>
      </c>
      <c r="B873" s="1" t="str">
        <f>"9783527413126"</f>
        <v>9783527413126</v>
      </c>
      <c r="C873" s="1">
        <v>80.8</v>
      </c>
      <c r="D873" s="1" t="str">
        <f>"USD"</f>
        <v>USD</v>
      </c>
      <c r="E873" s="1" t="str">
        <f>"2016"</f>
        <v>2016</v>
      </c>
      <c r="F873" s="1" t="str">
        <f>"WÃ¼rfel"</f>
        <v>WÃ¼rfel</v>
      </c>
      <c r="G873" s="1" t="str">
        <f>"avanddanesh"</f>
        <v>avanddanesh</v>
      </c>
      <c r="J873" s="1"/>
    </row>
    <row r="874" spans="1:10" x14ac:dyDescent="0.2">
      <c r="A874" s="1" t="str">
        <f>"Physics Of Solids"</f>
        <v>Physics Of Solids</v>
      </c>
      <c r="B874" s="1" t="str">
        <f>"9780198735298"</f>
        <v>9780198735298</v>
      </c>
      <c r="C874" s="1">
        <v>23.8</v>
      </c>
      <c r="D874" s="1" t="str">
        <f>"USD"</f>
        <v>USD</v>
      </c>
      <c r="E874" s="1" t="str">
        <f>"2015"</f>
        <v>2015</v>
      </c>
      <c r="F874" s="1" t="str">
        <f>"Turton,R."</f>
        <v>Turton,R.</v>
      </c>
      <c r="G874" s="1" t="str">
        <f>"jahanadib"</f>
        <v>jahanadib</v>
      </c>
      <c r="J874" s="1"/>
    </row>
    <row r="875" spans="1:10" x14ac:dyDescent="0.2">
      <c r="A875" s="1" t="str">
        <f>"Physics of Stochastic Processes:How Randomness Acts in Time"</f>
        <v>Physics of Stochastic Processes:How Randomness Acts in Time</v>
      </c>
      <c r="B875" s="1" t="str">
        <f>"9783527408405"</f>
        <v>9783527408405</v>
      </c>
      <c r="C875" s="1">
        <v>59.97</v>
      </c>
      <c r="D875" s="1" t="str">
        <f>"USD"</f>
        <v>USD</v>
      </c>
      <c r="E875" s="1" t="str">
        <f>"2008"</f>
        <v>2008</v>
      </c>
      <c r="F875" s="1" t="str">
        <f>"Mahnke"</f>
        <v>Mahnke</v>
      </c>
      <c r="G875" s="1" t="str">
        <f>"safirketab"</f>
        <v>safirketab</v>
      </c>
      <c r="J875" s="1"/>
    </row>
    <row r="876" spans="1:10" x14ac:dyDescent="0.2">
      <c r="A876" s="1" t="str">
        <f>"Physics of WettingPhenomena and Applications of Fluids on Surfaces"</f>
        <v>Physics of WettingPhenomena and Applications of Fluids on Surfaces</v>
      </c>
      <c r="B876" s="1" t="str">
        <f>"9783110444803"</f>
        <v>9783110444803</v>
      </c>
      <c r="C876" s="1">
        <v>62.95</v>
      </c>
      <c r="D876" s="1" t="str">
        <f>"EUR"</f>
        <v>EUR</v>
      </c>
      <c r="E876" s="1" t="str">
        <f>"2017"</f>
        <v>2017</v>
      </c>
      <c r="F876" s="1" t="str">
        <f>"Bormashenko, Edward"</f>
        <v>Bormashenko, Edward</v>
      </c>
      <c r="G876" s="1" t="str">
        <f>"AsarBartar"</f>
        <v>AsarBartar</v>
      </c>
      <c r="J876" s="1"/>
    </row>
    <row r="877" spans="1:10" x14ac:dyDescent="0.2">
      <c r="A877" s="1" t="str">
        <f>"Physics Qualifying Examination:Problems and Solutions"</f>
        <v>Physics Qualifying Examination:Problems and Solutions</v>
      </c>
      <c r="B877" s="1" t="str">
        <f>"9783527408054"</f>
        <v>9783527408054</v>
      </c>
      <c r="C877" s="1">
        <v>44.07</v>
      </c>
      <c r="D877" s="1" t="str">
        <f>"USD"</f>
        <v>USD</v>
      </c>
      <c r="E877" s="1" t="str">
        <f>"2010"</f>
        <v>2010</v>
      </c>
      <c r="F877" s="1" t="str">
        <f>"Farach"</f>
        <v>Farach</v>
      </c>
      <c r="G877" s="1" t="str">
        <f>"safirketab"</f>
        <v>safirketab</v>
      </c>
      <c r="J877" s="1"/>
    </row>
    <row r="878" spans="1:10" x14ac:dyDescent="0.2">
      <c r="A878" s="1" t="str">
        <f>"Physics with Trapped Charged Particles: Lectures from the Les Houches Winter School"</f>
        <v>Physics with Trapped Charged Particles: Lectures from the Les Houches Winter School</v>
      </c>
      <c r="B878" s="1" t="str">
        <f>"9781783264056"</f>
        <v>9781783264056</v>
      </c>
      <c r="C878" s="1">
        <v>36</v>
      </c>
      <c r="D878" s="1" t="str">
        <f>"GBP"</f>
        <v>GBP</v>
      </c>
      <c r="E878" s="1" t="str">
        <f>"2014"</f>
        <v>2014</v>
      </c>
      <c r="F878" s="1" t="str">
        <f>"Niels Madsen(Editor"</f>
        <v>Niels Madsen(Editor</v>
      </c>
      <c r="G878" s="1" t="str">
        <f>"AsarBartar"</f>
        <v>AsarBartar</v>
      </c>
      <c r="J878" s="1"/>
    </row>
    <row r="879" spans="1:10" x14ac:dyDescent="0.2">
      <c r="A879" s="1" t="str">
        <f>"Pi, Epsilon, Phi,  WITH MATLAB : RANDOM AND RATIONAL SEQUENCES WITH SCOPE IN SUPERCOMPUTING ERA, HB"</f>
        <v>Pi, Epsilon, Phi,  WITH MATLAB : RANDOM AND RATIONAL SEQUENCES WITH SCOPE IN SUPERCOMPUTING ERA, HB</v>
      </c>
      <c r="B879" s="1" t="str">
        <f>"9781908106230"</f>
        <v>9781908106230</v>
      </c>
      <c r="C879" s="1">
        <v>31.5</v>
      </c>
      <c r="D879" s="1" t="str">
        <f>"GBP"</f>
        <v>GBP</v>
      </c>
      <c r="E879" s="1" t="str">
        <f>"2011"</f>
        <v>2011</v>
      </c>
      <c r="F879" s="1" t="str">
        <f>"S. K. SEN"</f>
        <v>S. K. SEN</v>
      </c>
      <c r="G879" s="1" t="str">
        <f>"supply"</f>
        <v>supply</v>
      </c>
      <c r="J879" s="1"/>
    </row>
    <row r="880" spans="1:10" x14ac:dyDescent="0.2">
      <c r="A880" s="1" t="str">
        <f>"Pico-solar Electric Systems: The Earthscan Expert Guide to the Technology and Emerging Market"</f>
        <v>Pico-solar Electric Systems: The Earthscan Expert Guide to the Technology and Emerging Market</v>
      </c>
      <c r="B880" s="1" t="str">
        <f>"9780415823593"</f>
        <v>9780415823593</v>
      </c>
      <c r="C880" s="1">
        <v>40</v>
      </c>
      <c r="D880" s="1" t="str">
        <f>"GBP"</f>
        <v>GBP</v>
      </c>
      <c r="E880" s="1" t="str">
        <f>"2014"</f>
        <v>2014</v>
      </c>
      <c r="F880" s="1" t="str">
        <f>"John Keane"</f>
        <v>John Keane</v>
      </c>
      <c r="G880" s="1" t="str">
        <f>"AsarBartar"</f>
        <v>AsarBartar</v>
      </c>
      <c r="J880" s="1"/>
    </row>
    <row r="881" spans="1:10" x14ac:dyDescent="0.2">
      <c r="A881" s="1" t="str">
        <f>"Picturing Quantum Processes: A First Course in Quantum Theory and Diagrammatic Reasoning"</f>
        <v>Picturing Quantum Processes: A First Course in Quantum Theory and Diagrammatic Reasoning</v>
      </c>
      <c r="B881" s="1" t="str">
        <f>"9781107104228"</f>
        <v>9781107104228</v>
      </c>
      <c r="C881" s="1">
        <v>51</v>
      </c>
      <c r="D881" s="1" t="str">
        <f>"GBP"</f>
        <v>GBP</v>
      </c>
      <c r="E881" s="1" t="str">
        <f>"2017"</f>
        <v>2017</v>
      </c>
      <c r="F881" s="1" t="str">
        <f>"Bob Coecke , Aleks K"</f>
        <v>Bob Coecke , Aleks K</v>
      </c>
      <c r="G881" s="1" t="str">
        <f>"arzinbooks"</f>
        <v>arzinbooks</v>
      </c>
      <c r="J881" s="1"/>
    </row>
    <row r="882" spans="1:10" x14ac:dyDescent="0.2">
      <c r="A882" s="1" t="str">
        <f>"Planet Mercury: From Pale Pink Dot to Dynamic World"</f>
        <v>Planet Mercury: From Pale Pink Dot to Dynamic World</v>
      </c>
      <c r="B882" s="1" t="str">
        <f>"9783319121161"</f>
        <v>9783319121161</v>
      </c>
      <c r="C882" s="1">
        <v>62.99</v>
      </c>
      <c r="D882" s="1" t="str">
        <f>"EUR"</f>
        <v>EUR</v>
      </c>
      <c r="E882" s="1" t="str">
        <f>"2015"</f>
        <v>2015</v>
      </c>
      <c r="F882" s="1" t="str">
        <f>"Rothery"</f>
        <v>Rothery</v>
      </c>
      <c r="G882" s="1" t="str">
        <f>"negarestanabi"</f>
        <v>negarestanabi</v>
      </c>
      <c r="J882" s="1"/>
    </row>
    <row r="883" spans="1:10" x14ac:dyDescent="0.2">
      <c r="A883" s="1" t="str">
        <f>"PLANNING AND INSTALLING SOLAR THERMAL SYSTEMS: A GUIDE FOR INSTALLERS, ARCHITECTS AND ENGINEERS"</f>
        <v>PLANNING AND INSTALLING SOLAR THERMAL SYSTEMS: A GUIDE FOR INSTALLERS, ARCHITECTS AND ENGINEERS</v>
      </c>
      <c r="B883" s="1" t="str">
        <f>"9781844077601"</f>
        <v>9781844077601</v>
      </c>
      <c r="C883" s="1">
        <v>28.5</v>
      </c>
      <c r="D883" s="1" t="str">
        <f>"GBP"</f>
        <v>GBP</v>
      </c>
      <c r="E883" s="1" t="str">
        <f>"2010"</f>
        <v>2010</v>
      </c>
      <c r="F883" s="1" t="str">
        <f>"GERMAN SOLAR ENERGY"</f>
        <v>GERMAN SOLAR ENERGY</v>
      </c>
      <c r="G883" s="1" t="str">
        <f>"AsarBartar"</f>
        <v>AsarBartar</v>
      </c>
      <c r="J883" s="1"/>
    </row>
    <row r="884" spans="1:10" x14ac:dyDescent="0.2">
      <c r="A884" s="1" t="str">
        <f>"Plasma and Plasmonics"</f>
        <v>Plasma and Plasmonics</v>
      </c>
      <c r="B884" s="1" t="str">
        <f>"9783110569940"</f>
        <v>9783110569940</v>
      </c>
      <c r="C884" s="1">
        <v>54.85</v>
      </c>
      <c r="D884" s="1" t="str">
        <f>"EUR"</f>
        <v>EUR</v>
      </c>
      <c r="E884" s="1" t="str">
        <f>"2018"</f>
        <v>2018</v>
      </c>
      <c r="F884" s="1" t="str">
        <f>"Shah, Kushal"</f>
        <v>Shah, Kushal</v>
      </c>
      <c r="G884" s="1" t="str">
        <f>"AsarBartar"</f>
        <v>AsarBartar</v>
      </c>
      <c r="J884" s="1"/>
    </row>
    <row r="885" spans="1:10" x14ac:dyDescent="0.2">
      <c r="A885" s="1" t="str">
        <f>"Plasma Physics for Controlled Fusion. 2/ed"</f>
        <v>Plasma Physics for Controlled Fusion. 2/ed</v>
      </c>
      <c r="B885" s="1" t="str">
        <f>"9783662497807"</f>
        <v>9783662497807</v>
      </c>
      <c r="C885" s="1">
        <v>134.99</v>
      </c>
      <c r="D885" s="1" t="str">
        <f>"EUR"</f>
        <v>EUR</v>
      </c>
      <c r="E885" s="1" t="str">
        <f>"2016"</f>
        <v>2016</v>
      </c>
      <c r="F885" s="1" t="str">
        <f>"Miyamoto"</f>
        <v>Miyamoto</v>
      </c>
      <c r="G885" s="1" t="str">
        <f>"negarestanabi"</f>
        <v>negarestanabi</v>
      </c>
      <c r="J885" s="1"/>
    </row>
    <row r="886" spans="1:10" x14ac:dyDescent="0.2">
      <c r="A886" s="1" t="str">
        <f>"PLASMA PHYSICS IN ACTIVE WAVE IONOSPHERE INTERACTION"</f>
        <v>PLASMA PHYSICS IN ACTIVE WAVE IONOSPHERE INTERACTION</v>
      </c>
      <c r="B886" s="1" t="str">
        <f>"9789813232129"</f>
        <v>9789813232129</v>
      </c>
      <c r="C886" s="1">
        <v>77.400000000000006</v>
      </c>
      <c r="D886" s="1" t="str">
        <f>"GBP"</f>
        <v>GBP</v>
      </c>
      <c r="E886" s="1" t="str">
        <f>"2018"</f>
        <v>2018</v>
      </c>
      <c r="F886" s="1" t="str">
        <f>"KUO SPENCER P"</f>
        <v>KUO SPENCER P</v>
      </c>
      <c r="G886" s="1" t="str">
        <f>"AsarBartar"</f>
        <v>AsarBartar</v>
      </c>
      <c r="J886" s="1"/>
    </row>
    <row r="887" spans="1:10" x14ac:dyDescent="0.2">
      <c r="A887" s="1" t="str">
        <f>"Plasma Physics: An Introduction to Laboratory. Space. and Fusion Plasmas. 2/ed"</f>
        <v>Plasma Physics: An Introduction to Laboratory. Space. and Fusion Plasmas. 2/ed</v>
      </c>
      <c r="B887" s="1" t="str">
        <f>"9783319634258"</f>
        <v>9783319634258</v>
      </c>
      <c r="C887" s="1">
        <v>76.489999999999995</v>
      </c>
      <c r="D887" s="1" t="str">
        <f>"EUR"</f>
        <v>EUR</v>
      </c>
      <c r="E887" s="1" t="str">
        <f>"2017"</f>
        <v>2017</v>
      </c>
      <c r="F887" s="1" t="str">
        <f>"Piel"</f>
        <v>Piel</v>
      </c>
      <c r="G887" s="1" t="str">
        <f>"negarestanabi"</f>
        <v>negarestanabi</v>
      </c>
      <c r="J887" s="1"/>
    </row>
    <row r="888" spans="1:10" x14ac:dyDescent="0.2">
      <c r="A888" s="1" t="str">
        <f>"Plasma Scattering of Electromagnetic Radiation, Theory and Measurement Techniques, 2nd Edition"</f>
        <v>Plasma Scattering of Electromagnetic Radiation, Theory and Measurement Techniques, 2nd Edition</v>
      </c>
      <c r="B888" s="1" t="str">
        <f>"9780128101940"</f>
        <v>9780128101940</v>
      </c>
      <c r="C888" s="1">
        <v>153</v>
      </c>
      <c r="D888" s="1" t="str">
        <f>"USD"</f>
        <v>USD</v>
      </c>
      <c r="E888" s="1" t="str">
        <f>"2017"</f>
        <v>2017</v>
      </c>
      <c r="F888" s="1" t="str">
        <f>"Sheffield et al"</f>
        <v>Sheffield et al</v>
      </c>
      <c r="G888" s="1" t="str">
        <f>"dehkadehketab"</f>
        <v>dehkadehketab</v>
      </c>
      <c r="J888" s="1"/>
    </row>
    <row r="889" spans="1:10" x14ac:dyDescent="0.2">
      <c r="A889" s="1" t="str">
        <f>"Pohl's Introduction to Physics: Volume 1: Mechanics, Acoustics and Thermodynamics"</f>
        <v>Pohl's Introduction to Physics: Volume 1: Mechanics, Acoustics and Thermodynamics</v>
      </c>
      <c r="B889" s="1" t="str">
        <f>"9783319400440"</f>
        <v>9783319400440</v>
      </c>
      <c r="C889" s="1">
        <v>71.989999999999995</v>
      </c>
      <c r="D889" s="1" t="str">
        <f>"EUR"</f>
        <v>EUR</v>
      </c>
      <c r="E889" s="1" t="str">
        <f>"2017"</f>
        <v>2017</v>
      </c>
      <c r="F889" s="1" t="str">
        <f>"LÃ¼ders"</f>
        <v>LÃ¼ders</v>
      </c>
      <c r="G889" s="1" t="str">
        <f>"negarestanabi"</f>
        <v>negarestanabi</v>
      </c>
      <c r="J889" s="1"/>
    </row>
    <row r="890" spans="1:10" x14ac:dyDescent="0.2">
      <c r="A890" s="1" t="str">
        <f>"Point-of-Care Diagnostics on a Chip"</f>
        <v>Point-of-Care Diagnostics on a Chip</v>
      </c>
      <c r="B890" s="1" t="str">
        <f>"9783642292675"</f>
        <v>9783642292675</v>
      </c>
      <c r="C890" s="1">
        <v>125.99</v>
      </c>
      <c r="D890" s="1" t="str">
        <f>"EUR"</f>
        <v>EUR</v>
      </c>
      <c r="E890" s="1" t="str">
        <f>"2013"</f>
        <v>2013</v>
      </c>
      <c r="F890" s="1" t="str">
        <f>"Issadore"</f>
        <v>Issadore</v>
      </c>
      <c r="G890" s="1" t="str">
        <f>"negarestanabi"</f>
        <v>negarestanabi</v>
      </c>
      <c r="J890" s="1"/>
    </row>
    <row r="891" spans="1:10" x14ac:dyDescent="0.2">
      <c r="A891" s="1" t="str">
        <f>"Polarization. Alignment. and Orientation in Atomic Collisions. 2/ed"</f>
        <v>Polarization. Alignment. and Orientation in Atomic Collisions. 2/ed</v>
      </c>
      <c r="B891" s="1" t="str">
        <f>"9783319552149"</f>
        <v>9783319552149</v>
      </c>
      <c r="C891" s="1">
        <v>134.99</v>
      </c>
      <c r="D891" s="1" t="str">
        <f>"EUR"</f>
        <v>EUR</v>
      </c>
      <c r="E891" s="1" t="str">
        <f>"2017"</f>
        <v>2017</v>
      </c>
      <c r="F891" s="1" t="str">
        <f>"Andersen"</f>
        <v>Andersen</v>
      </c>
      <c r="G891" s="1" t="str">
        <f>"negarestanabi"</f>
        <v>negarestanabi</v>
      </c>
      <c r="J891" s="1"/>
    </row>
    <row r="892" spans="1:10" x14ac:dyDescent="0.2">
      <c r="A892" s="1" t="str">
        <f>"POST-OIL ENERGY TECHNOLOGY : THE WORLD'S FIRST SOLAR-HYDROGEN DEMONSTRATION POWER PLANT"</f>
        <v>POST-OIL ENERGY TECHNOLOGY : THE WORLD'S FIRST SOLAR-HYDROGEN DEMONSTRATION POWER PLANT</v>
      </c>
      <c r="B892" s="1" t="str">
        <f>"9781420070255"</f>
        <v>9781420070255</v>
      </c>
      <c r="C892" s="1">
        <v>20.99</v>
      </c>
      <c r="D892" s="1" t="str">
        <f>"GBP"</f>
        <v>GBP</v>
      </c>
      <c r="E892" s="1" t="str">
        <f>"2009"</f>
        <v>2009</v>
      </c>
      <c r="F892" s="1" t="str">
        <f>"BELA G. LIPTAK"</f>
        <v>BELA G. LIPTAK</v>
      </c>
      <c r="G892" s="1" t="str">
        <f>"AsarBartar"</f>
        <v>AsarBartar</v>
      </c>
      <c r="J892" s="1"/>
    </row>
    <row r="893" spans="1:10" x14ac:dyDescent="0.2">
      <c r="A893" s="1" t="str">
        <f>"Power Density: A Key to Understanding Energy Sources and Uses"</f>
        <v>Power Density: A Key to Understanding Energy Sources and Uses</v>
      </c>
      <c r="B893" s="1" t="str">
        <f>"9780262029148"</f>
        <v>9780262029148</v>
      </c>
      <c r="C893" s="1">
        <v>27.2</v>
      </c>
      <c r="D893" s="1" t="str">
        <f>"USD"</f>
        <v>USD</v>
      </c>
      <c r="E893" s="1" t="str">
        <f>"2015"</f>
        <v>2015</v>
      </c>
      <c r="F893" s="1" t="str">
        <f>"Vaclav Smil"</f>
        <v>Vaclav Smil</v>
      </c>
      <c r="G893" s="1" t="str">
        <f>"AsarBartar"</f>
        <v>AsarBartar</v>
      </c>
      <c r="J893" s="1"/>
    </row>
    <row r="894" spans="1:10" x14ac:dyDescent="0.2">
      <c r="A894" s="1" t="str">
        <f>"Practical Relativity: From First Principles to the Theory of Gravity"</f>
        <v>Practical Relativity: From First Principles to the Theory of Gravity</v>
      </c>
      <c r="B894" s="1" t="str">
        <f>"9780470741412"</f>
        <v>9780470741412</v>
      </c>
      <c r="C894" s="1">
        <v>44.1</v>
      </c>
      <c r="D894" s="1" t="str">
        <f>"USD"</f>
        <v>USD</v>
      </c>
      <c r="E894" s="1" t="str">
        <f>"2011"</f>
        <v>2011</v>
      </c>
      <c r="F894" s="1" t="str">
        <f>"Henriksen"</f>
        <v>Henriksen</v>
      </c>
      <c r="G894" s="1" t="str">
        <f>"safirketab"</f>
        <v>safirketab</v>
      </c>
      <c r="J894" s="1"/>
    </row>
    <row r="895" spans="1:10" x14ac:dyDescent="0.2">
      <c r="A895" s="1" t="str">
        <f>"Precision Cosmology : The First Half Million Years"</f>
        <v>Precision Cosmology : The First Half Million Years</v>
      </c>
      <c r="B895" s="1" t="str">
        <f>"9780521554336"</f>
        <v>9780521554336</v>
      </c>
      <c r="C895" s="1">
        <v>55.3</v>
      </c>
      <c r="D895" s="1" t="str">
        <f>"GBP"</f>
        <v>GBP</v>
      </c>
      <c r="E895" s="1" t="str">
        <f>"2017"</f>
        <v>2017</v>
      </c>
      <c r="F895" s="1" t="str">
        <f>"Jones"</f>
        <v>Jones</v>
      </c>
      <c r="G895" s="1" t="str">
        <f>"arzinbooks"</f>
        <v>arzinbooks</v>
      </c>
      <c r="J895" s="1"/>
    </row>
    <row r="896" spans="1:10" x14ac:dyDescent="0.2">
      <c r="A896" s="1" t="str">
        <f>"Primer of NMR Theory with Calculations in Mathematica"</f>
        <v>Primer of NMR Theory with Calculations in Mathematica</v>
      </c>
      <c r="B896" s="1" t="str">
        <f>"9781118588994"</f>
        <v>9781118588994</v>
      </c>
      <c r="C896" s="1">
        <v>64</v>
      </c>
      <c r="D896" s="1" t="str">
        <f>"USD"</f>
        <v>USD</v>
      </c>
      <c r="E896" s="1" t="str">
        <f>"2015"</f>
        <v>2015</v>
      </c>
      <c r="F896" s="1" t="str">
        <f>"Benesi"</f>
        <v>Benesi</v>
      </c>
      <c r="G896" s="1" t="str">
        <f>"avanddanesh"</f>
        <v>avanddanesh</v>
      </c>
      <c r="J896" s="1"/>
    </row>
    <row r="897" spans="1:10" x14ac:dyDescent="0.2">
      <c r="A897" s="1" t="str">
        <f>"PRINCIPLES OF DIFFUSE LIGHT PROPAGATION: LIGHT PROPAGATION IN TISSUES WITH APPLICATIONS IN BIOLOGY A"</f>
        <v>PRINCIPLES OF DIFFUSE LIGHT PROPAGATION: LIGHT PROPAGATION IN TISSUES WITH APPLICATIONS IN BIOLOGY A</v>
      </c>
      <c r="B897" s="1" t="str">
        <f>"9789814293761"</f>
        <v>9789814293761</v>
      </c>
      <c r="C897" s="1">
        <v>63</v>
      </c>
      <c r="D897" s="1" t="str">
        <f>"GBP"</f>
        <v>GBP</v>
      </c>
      <c r="E897" s="1" t="str">
        <f>"2012"</f>
        <v>2012</v>
      </c>
      <c r="F897" s="1" t="str">
        <f>"RIPOLL LORENZO JORG"</f>
        <v>RIPOLL LORENZO JORG</v>
      </c>
      <c r="G897" s="1" t="str">
        <f>"AsarBartar"</f>
        <v>AsarBartar</v>
      </c>
      <c r="J897" s="1"/>
    </row>
    <row r="898" spans="1:10" x14ac:dyDescent="0.2">
      <c r="A898" s="1" t="str">
        <f>"Principles of Electromagnetic Theory"</f>
        <v>Principles of Electromagnetic Theory</v>
      </c>
      <c r="B898" s="1" t="str">
        <f>"9781783323517"</f>
        <v>9781783323517</v>
      </c>
      <c r="C898" s="1">
        <v>27.97</v>
      </c>
      <c r="D898" s="1" t="str">
        <f>"GBP"</f>
        <v>GBP</v>
      </c>
      <c r="E898" s="1" t="str">
        <f t="shared" ref="E898:E903" si="23">"2017"</f>
        <v>2017</v>
      </c>
      <c r="F898" s="1" t="str">
        <f>"Jain"</f>
        <v>Jain</v>
      </c>
      <c r="G898" s="1" t="str">
        <f>"jahanadib"</f>
        <v>jahanadib</v>
      </c>
      <c r="J898" s="1"/>
    </row>
    <row r="899" spans="1:10" x14ac:dyDescent="0.2">
      <c r="A899" s="1" t="str">
        <f>"Principles of Electromagnetic Theory"</f>
        <v>Principles of Electromagnetic Theory</v>
      </c>
      <c r="B899" s="1" t="str">
        <f>"9781783323517"</f>
        <v>9781783323517</v>
      </c>
      <c r="C899" s="1">
        <v>27.96</v>
      </c>
      <c r="D899" s="1" t="str">
        <f>"GBP"</f>
        <v>GBP</v>
      </c>
      <c r="E899" s="1" t="str">
        <f t="shared" si="23"/>
        <v>2017</v>
      </c>
      <c r="F899" s="1" t="str">
        <f>"Jain"</f>
        <v>Jain</v>
      </c>
      <c r="G899" s="1" t="str">
        <f>"safirketab"</f>
        <v>safirketab</v>
      </c>
      <c r="J899" s="1"/>
    </row>
    <row r="900" spans="1:10" x14ac:dyDescent="0.2">
      <c r="A900" s="1" t="str">
        <f>"Principles of Engineering Physics 1"</f>
        <v>Principles of Engineering Physics 1</v>
      </c>
      <c r="B900" s="1" t="str">
        <f>"9781316633441"</f>
        <v>9781316633441</v>
      </c>
      <c r="C900" s="1">
        <v>85.49</v>
      </c>
      <c r="D900" s="1" t="str">
        <f>"USD"</f>
        <v>USD</v>
      </c>
      <c r="E900" s="1" t="str">
        <f t="shared" si="23"/>
        <v>2017</v>
      </c>
      <c r="F900" s="1" t="str">
        <f>"Md Nazoor Khan"</f>
        <v>Md Nazoor Khan</v>
      </c>
      <c r="G900" s="1" t="str">
        <f>"dehkadehketab"</f>
        <v>dehkadehketab</v>
      </c>
      <c r="J900" s="1"/>
    </row>
    <row r="901" spans="1:10" x14ac:dyDescent="0.2">
      <c r="A901" s="1" t="str">
        <f>"Principles of Engineering Physics 1"</f>
        <v>Principles of Engineering Physics 1</v>
      </c>
      <c r="B901" s="1" t="str">
        <f>"9781316635643"</f>
        <v>9781316635643</v>
      </c>
      <c r="C901" s="1">
        <v>68</v>
      </c>
      <c r="D901" s="1" t="str">
        <f>"GBP"</f>
        <v>GBP</v>
      </c>
      <c r="E901" s="1" t="str">
        <f t="shared" si="23"/>
        <v>2017</v>
      </c>
      <c r="F901" s="1" t="str">
        <f>"Khan"</f>
        <v>Khan</v>
      </c>
      <c r="G901" s="1" t="str">
        <f>"arzinbooks"</f>
        <v>arzinbooks</v>
      </c>
      <c r="J901" s="1"/>
    </row>
    <row r="902" spans="1:10" x14ac:dyDescent="0.2">
      <c r="A902" s="1" t="str">
        <f>"Principles of Engineering Physics 2"</f>
        <v>Principles of Engineering Physics 2</v>
      </c>
      <c r="B902" s="1" t="str">
        <f>"9781316635650"</f>
        <v>9781316635650</v>
      </c>
      <c r="C902" s="1">
        <v>61.2</v>
      </c>
      <c r="D902" s="1" t="str">
        <f>"GBP"</f>
        <v>GBP</v>
      </c>
      <c r="E902" s="1" t="str">
        <f t="shared" si="23"/>
        <v>2017</v>
      </c>
      <c r="F902" s="1" t="str">
        <f>"Khan"</f>
        <v>Khan</v>
      </c>
      <c r="G902" s="1" t="str">
        <f>"arzinbooks"</f>
        <v>arzinbooks</v>
      </c>
      <c r="J902" s="1"/>
    </row>
    <row r="903" spans="1:10" x14ac:dyDescent="0.2">
      <c r="A903" s="1" t="str">
        <f>"Principles of Engineering Physics 2"</f>
        <v>Principles of Engineering Physics 2</v>
      </c>
      <c r="B903" s="1" t="str">
        <f>"9781316635643"</f>
        <v>9781316635643</v>
      </c>
      <c r="C903" s="1">
        <v>80.989999999999995</v>
      </c>
      <c r="D903" s="1" t="str">
        <f>"USD"</f>
        <v>USD</v>
      </c>
      <c r="E903" s="1" t="str">
        <f t="shared" si="23"/>
        <v>2017</v>
      </c>
      <c r="F903" s="1" t="str">
        <f>"Md Nazoor Khan"</f>
        <v>Md Nazoor Khan</v>
      </c>
      <c r="G903" s="1" t="str">
        <f>"dehkadehketab"</f>
        <v>dehkadehketab</v>
      </c>
      <c r="J903" s="1"/>
    </row>
    <row r="904" spans="1:10" x14ac:dyDescent="0.2">
      <c r="A904" s="1" t="str">
        <f>"Principles of Engineering Thermodynamics, 8/e"</f>
        <v>Principles of Engineering Thermodynamics, 8/e</v>
      </c>
      <c r="B904" s="1" t="str">
        <f>"9788126556724"</f>
        <v>9788126556724</v>
      </c>
      <c r="C904" s="1">
        <v>17.850000000000001</v>
      </c>
      <c r="D904" s="1" t="str">
        <f>"USD"</f>
        <v>USD</v>
      </c>
      <c r="E904" s="1" t="str">
        <f>"2015"</f>
        <v>2015</v>
      </c>
      <c r="F904" s="1" t="str">
        <f>"Bailey"</f>
        <v>Bailey</v>
      </c>
      <c r="G904" s="1" t="str">
        <f>"safirketab"</f>
        <v>safirketab</v>
      </c>
      <c r="J904" s="1"/>
    </row>
    <row r="905" spans="1:10" x14ac:dyDescent="0.2">
      <c r="A905" s="1" t="str">
        <f>"Principles of Nanomagnetism. 2/ed"</f>
        <v>Principles of Nanomagnetism. 2/ed</v>
      </c>
      <c r="B905" s="1" t="str">
        <f>"9783319594088"</f>
        <v>9783319594088</v>
      </c>
      <c r="C905" s="1">
        <v>134.99</v>
      </c>
      <c r="D905" s="1" t="str">
        <f>"EUR"</f>
        <v>EUR</v>
      </c>
      <c r="E905" s="1" t="str">
        <f>"2017"</f>
        <v>2017</v>
      </c>
      <c r="F905" s="1" t="str">
        <f>"GuimarÃ£es"</f>
        <v>GuimarÃ£es</v>
      </c>
      <c r="G905" s="1" t="str">
        <f>"negarestanabi"</f>
        <v>negarestanabi</v>
      </c>
      <c r="J905" s="1"/>
    </row>
    <row r="906" spans="1:10" x14ac:dyDescent="0.2">
      <c r="A906" s="1" t="str">
        <f>"PRINCIPLES OF NUCLEAR CHEMISTRY"</f>
        <v>PRINCIPLES OF NUCLEAR CHEMISTRY</v>
      </c>
      <c r="B906" s="1" t="str">
        <f>"9781786340504"</f>
        <v>9781786340504</v>
      </c>
      <c r="C906" s="1">
        <v>65.7</v>
      </c>
      <c r="D906" s="1" t="str">
        <f>"GBP"</f>
        <v>GBP</v>
      </c>
      <c r="E906" s="1" t="str">
        <f>"2017"</f>
        <v>2017</v>
      </c>
      <c r="F906" s="1" t="str">
        <f>"MCPHERSON PETER A C"</f>
        <v>MCPHERSON PETER A C</v>
      </c>
      <c r="G906" s="1" t="str">
        <f>"AsarBartar"</f>
        <v>AsarBartar</v>
      </c>
      <c r="J906" s="1"/>
    </row>
    <row r="907" spans="1:10" x14ac:dyDescent="0.2">
      <c r="A907" s="1" t="str">
        <f>"Principles of Physics, 10ed, ISV"</f>
        <v>Principles of Physics, 10ed, ISV</v>
      </c>
      <c r="B907" s="1" t="str">
        <f>"9788126552566"</f>
        <v>9788126552566</v>
      </c>
      <c r="C907" s="1">
        <v>17</v>
      </c>
      <c r="D907" s="1" t="str">
        <f>"USD"</f>
        <v>USD</v>
      </c>
      <c r="E907" s="1" t="str">
        <f>"2016"</f>
        <v>2016</v>
      </c>
      <c r="F907" s="1" t="str">
        <f>"Walker"</f>
        <v>Walker</v>
      </c>
      <c r="G907" s="1" t="str">
        <f>"safirketab"</f>
        <v>safirketab</v>
      </c>
      <c r="J907" s="1"/>
    </row>
    <row r="908" spans="1:10" x14ac:dyDescent="0.2">
      <c r="A908" s="1" t="str">
        <f>"Principles of Physics, 10ed, ISV"</f>
        <v>Principles of Physics, 10ed, ISV</v>
      </c>
      <c r="B908" s="1" t="str">
        <f>"9788126552566"</f>
        <v>9788126552566</v>
      </c>
      <c r="C908" s="1">
        <v>17</v>
      </c>
      <c r="D908" s="1" t="str">
        <f>"USD"</f>
        <v>USD</v>
      </c>
      <c r="E908" s="1" t="str">
        <f>"2016"</f>
        <v>2016</v>
      </c>
      <c r="F908" s="1" t="str">
        <f>"Walker"</f>
        <v>Walker</v>
      </c>
      <c r="G908" s="1" t="str">
        <f>"jahanadib"</f>
        <v>jahanadib</v>
      </c>
      <c r="J908" s="1"/>
    </row>
    <row r="909" spans="1:10" x14ac:dyDescent="0.2">
      <c r="A909" s="1" t="str">
        <f>"Principles of Physics,ISV,9e"</f>
        <v>Principles of Physics,ISV,9e</v>
      </c>
      <c r="B909" s="1" t="str">
        <f>"9780470561584"</f>
        <v>9780470561584</v>
      </c>
      <c r="C909" s="1">
        <v>21</v>
      </c>
      <c r="D909" s="1" t="str">
        <f>"USD"</f>
        <v>USD</v>
      </c>
      <c r="E909" s="1" t="str">
        <f>"2010"</f>
        <v>2010</v>
      </c>
      <c r="F909" s="1" t="str">
        <f>"Halliday"</f>
        <v>Halliday</v>
      </c>
      <c r="G909" s="1" t="str">
        <f>"avanddanesh"</f>
        <v>avanddanesh</v>
      </c>
      <c r="J909" s="1"/>
    </row>
    <row r="910" spans="1:10" x14ac:dyDescent="0.2">
      <c r="A910" s="1" t="str">
        <f>"Principles of Solar Engineering, Third Edition"</f>
        <v>Principles of Solar Engineering, Third Edition</v>
      </c>
      <c r="B910" s="1" t="str">
        <f>"9781466563780"</f>
        <v>9781466563780</v>
      </c>
      <c r="C910" s="1">
        <v>85.85</v>
      </c>
      <c r="D910" s="1" t="str">
        <f>"GBP"</f>
        <v>GBP</v>
      </c>
      <c r="E910" s="1" t="str">
        <f>"2015"</f>
        <v>2015</v>
      </c>
      <c r="F910" s="1" t="str">
        <f>"D. Yogi Goswami"</f>
        <v>D. Yogi Goswami</v>
      </c>
      <c r="G910" s="1" t="str">
        <f>"AsarBartar"</f>
        <v>AsarBartar</v>
      </c>
      <c r="J910" s="1"/>
    </row>
    <row r="911" spans="1:10" x14ac:dyDescent="0.2">
      <c r="A911" s="1" t="str">
        <f>"Principles of Turbulence Control"</f>
        <v>Principles of Turbulence Control</v>
      </c>
      <c r="B911" s="1" t="str">
        <f>"9781118718018"</f>
        <v>9781118718018</v>
      </c>
      <c r="C911" s="1">
        <v>127.5</v>
      </c>
      <c r="D911" s="1" t="str">
        <f>"USD"</f>
        <v>USD</v>
      </c>
      <c r="E911" s="1" t="str">
        <f>"2016"</f>
        <v>2016</v>
      </c>
      <c r="F911" s="1" t="str">
        <f>"Fan"</f>
        <v>Fan</v>
      </c>
      <c r="G911" s="1" t="str">
        <f>"avanddanesh"</f>
        <v>avanddanesh</v>
      </c>
      <c r="J911" s="1"/>
    </row>
    <row r="912" spans="1:10" x14ac:dyDescent="0.2">
      <c r="A912" s="1" t="str">
        <f>"Probability and Statistics for Particle Physics"</f>
        <v>Probability and Statistics for Particle Physics</v>
      </c>
      <c r="B912" s="1" t="str">
        <f>"9783319557373"</f>
        <v>9783319557373</v>
      </c>
      <c r="C912" s="1">
        <v>71.989999999999995</v>
      </c>
      <c r="D912" s="1" t="str">
        <f>"EUR"</f>
        <v>EUR</v>
      </c>
      <c r="E912" s="1" t="str">
        <f>"2017"</f>
        <v>2017</v>
      </c>
      <c r="F912" s="1" t="str">
        <f>"MaÃ±a"</f>
        <v>MaÃ±a</v>
      </c>
      <c r="G912" s="1" t="str">
        <f>"negarestanabi"</f>
        <v>negarestanabi</v>
      </c>
      <c r="J912" s="1"/>
    </row>
    <row r="913" spans="1:10" x14ac:dyDescent="0.2">
      <c r="A913" s="1" t="str">
        <f>"Problem Solving in Quantum Mechanics: From Basics to Real-World Applications for Materials Scientists, Applied Physicists, and Devices Engineers"</f>
        <v>Problem Solving in Quantum Mechanics: From Basics to Real-World Applications for Materials Scientists, Applied Physicists, and Devices Engineers</v>
      </c>
      <c r="B913" s="1" t="str">
        <f>"9781118988756"</f>
        <v>9781118988756</v>
      </c>
      <c r="C913" s="1">
        <v>72</v>
      </c>
      <c r="D913" s="1" t="str">
        <f>"USD"</f>
        <v>USD</v>
      </c>
      <c r="E913" s="1" t="str">
        <f>"2017"</f>
        <v>2017</v>
      </c>
      <c r="F913" s="1" t="str">
        <f>"Cahay"</f>
        <v>Cahay</v>
      </c>
      <c r="G913" s="1" t="str">
        <f>"avanddanesh"</f>
        <v>avanddanesh</v>
      </c>
      <c r="J913" s="1"/>
    </row>
    <row r="914" spans="1:10" x14ac:dyDescent="0.2">
      <c r="A914" s="1" t="str">
        <f>"Problems and Solutions in Quantum Physics"</f>
        <v>Problems and Solutions in Quantum Physics</v>
      </c>
      <c r="B914" s="1" t="str">
        <f>"9789814669368"</f>
        <v>9789814669368</v>
      </c>
      <c r="C914" s="1">
        <v>43.19</v>
      </c>
      <c r="D914" s="1" t="str">
        <f>"GBP"</f>
        <v>GBP</v>
      </c>
      <c r="E914" s="1" t="str">
        <f>"2016"</f>
        <v>2016</v>
      </c>
      <c r="F914" s="1" t="str">
        <f>"FICEK"</f>
        <v>FICEK</v>
      </c>
      <c r="G914" s="1" t="str">
        <f>"sal"</f>
        <v>sal</v>
      </c>
      <c r="J914" s="1"/>
    </row>
    <row r="915" spans="1:10" x14ac:dyDescent="0.2">
      <c r="A915" s="1" t="str">
        <f>"PROBLEMS AND SOLUTIONS IN SPECIAL RELATIVITY AND ELECTROMAGNETISM"</f>
        <v>PROBLEMS AND SOLUTIONS IN SPECIAL RELATIVITY AND ELECTROMAGNETISM</v>
      </c>
      <c r="B915" s="1" t="str">
        <f>"9789813227279"</f>
        <v>9789813227279</v>
      </c>
      <c r="C915" s="1">
        <v>29.7</v>
      </c>
      <c r="D915" s="1" t="str">
        <f>"GBP"</f>
        <v>GBP</v>
      </c>
      <c r="E915" s="1" t="str">
        <f>"2017"</f>
        <v>2017</v>
      </c>
      <c r="F915" s="1" t="str">
        <f>"KRUCHININ SERGEI"</f>
        <v>KRUCHININ SERGEI</v>
      </c>
      <c r="G915" s="1" t="str">
        <f>"AsarBartar"</f>
        <v>AsarBartar</v>
      </c>
      <c r="J915" s="1"/>
    </row>
    <row r="916" spans="1:10" x14ac:dyDescent="0.2">
      <c r="A916" s="1" t="str">
        <f>"Problems and Solutions: Nonlinear Dynamics, Chaos and Fractals"</f>
        <v>Problems and Solutions: Nonlinear Dynamics, Chaos and Fractals</v>
      </c>
      <c r="B916" s="1" t="str">
        <f>"9789813140875"</f>
        <v>9789813140875</v>
      </c>
      <c r="C916" s="1">
        <v>24.65</v>
      </c>
      <c r="D916" s="1" t="str">
        <f>"GBP"</f>
        <v>GBP</v>
      </c>
      <c r="E916" s="1" t="str">
        <f>"2016"</f>
        <v>2016</v>
      </c>
      <c r="F916" s="1" t="str">
        <f>"Willi-Hans Steeb"</f>
        <v>Willi-Hans Steeb</v>
      </c>
      <c r="G916" s="1" t="str">
        <f>"AsarBartar"</f>
        <v>AsarBartar</v>
      </c>
      <c r="J916" s="1"/>
    </row>
    <row r="917" spans="1:10" x14ac:dyDescent="0.2">
      <c r="A917" s="1" t="str">
        <f>"Problems in Classical and Quantum Mechanics: Extracting the Underlying Concepts"</f>
        <v>Problems in Classical and Quantum Mechanics: Extracting the Underlying Concepts</v>
      </c>
      <c r="B917" s="1" t="str">
        <f>"9783319466620"</f>
        <v>9783319466620</v>
      </c>
      <c r="C917" s="1">
        <v>76.489999999999995</v>
      </c>
      <c r="D917" s="1" t="str">
        <f>"EUR"</f>
        <v>EUR</v>
      </c>
      <c r="E917" s="1" t="str">
        <f>"2017"</f>
        <v>2017</v>
      </c>
      <c r="F917" s="1" t="str">
        <f>"Kelley"</f>
        <v>Kelley</v>
      </c>
      <c r="G917" s="1" t="str">
        <f>"negarestanabi"</f>
        <v>negarestanabi</v>
      </c>
      <c r="J917" s="1"/>
    </row>
    <row r="918" spans="1:10" x14ac:dyDescent="0.2">
      <c r="A918" s="1" t="str">
        <f>"Problems in Classical Electromagnetism: 157 Exercises with Solutions"</f>
        <v>Problems in Classical Electromagnetism: 157 Exercises with Solutions</v>
      </c>
      <c r="B918" s="1" t="str">
        <f>"9783319631325"</f>
        <v>9783319631325</v>
      </c>
      <c r="C918" s="1">
        <v>67.489999999999995</v>
      </c>
      <c r="D918" s="1" t="str">
        <f>"EUR"</f>
        <v>EUR</v>
      </c>
      <c r="E918" s="1" t="str">
        <f>"2017"</f>
        <v>2017</v>
      </c>
      <c r="F918" s="1" t="str">
        <f>"Macchi"</f>
        <v>Macchi</v>
      </c>
      <c r="G918" s="1" t="str">
        <f>"negarestanabi"</f>
        <v>negarestanabi</v>
      </c>
      <c r="J918" s="1"/>
    </row>
    <row r="919" spans="1:10" x14ac:dyDescent="0.2">
      <c r="A919" s="1" t="str">
        <f>"Problems in Quantum Mechanics: with Solutions. 2/ed"</f>
        <v>Problems in Quantum Mechanics: with Solutions. 2/ed</v>
      </c>
      <c r="B919" s="1" t="str">
        <f>"9783319532660"</f>
        <v>9783319532660</v>
      </c>
      <c r="C919" s="1">
        <v>62.99</v>
      </c>
      <c r="D919" s="1" t="str">
        <f>"EUR"</f>
        <v>EUR</v>
      </c>
      <c r="E919" s="1" t="str">
        <f>"2017"</f>
        <v>2017</v>
      </c>
      <c r="F919" s="1" t="str">
        <f>"d'Emilio"</f>
        <v>d'Emilio</v>
      </c>
      <c r="G919" s="1" t="str">
        <f>"negarestanabi"</f>
        <v>negarestanabi</v>
      </c>
      <c r="J919" s="1"/>
    </row>
    <row r="920" spans="1:10" x14ac:dyDescent="0.2">
      <c r="A920" s="1" t="str">
        <f>"Proceedings of the International Symposium Electrophotoproduction of Strangeness on Nucleons and Nuclei: Sendai, Japan 16-18 June 2003"</f>
        <v>Proceedings of the International Symposium Electrophotoproduction of Strangeness on Nucleons and Nuclei: Sendai, Japan 16-18 June 2003</v>
      </c>
      <c r="B920" s="1" t="str">
        <f>"9789812387523"</f>
        <v>9789812387523</v>
      </c>
      <c r="C920" s="1">
        <v>14</v>
      </c>
      <c r="D920" s="1" t="str">
        <f>"USD"</f>
        <v>USD</v>
      </c>
      <c r="E920" s="1" t="str">
        <f>"2004"</f>
        <v>2004</v>
      </c>
      <c r="F920" s="1" t="str">
        <f>"K. Maeda"</f>
        <v>K. Maeda</v>
      </c>
      <c r="G920" s="1" t="str">
        <f>"kowkab"</f>
        <v>kowkab</v>
      </c>
      <c r="J920" s="1"/>
    </row>
    <row r="921" spans="1:10" x14ac:dyDescent="0.2">
      <c r="A921" s="1" t="str">
        <f>"Progress in Optics, Volume62"</f>
        <v>Progress in Optics, Volume62</v>
      </c>
      <c r="B921" s="1" t="str">
        <f>"9780128119990"</f>
        <v>9780128119990</v>
      </c>
      <c r="C921" s="1">
        <v>201.6</v>
      </c>
      <c r="D921" s="1" t="str">
        <f>"USD"</f>
        <v>USD</v>
      </c>
      <c r="E921" s="1" t="str">
        <f>"2017"</f>
        <v>2017</v>
      </c>
      <c r="F921" s="1" t="str">
        <f>"Visser"</f>
        <v>Visser</v>
      </c>
      <c r="G921" s="1" t="str">
        <f>"dehkadehketab"</f>
        <v>dehkadehketab</v>
      </c>
      <c r="J921" s="1"/>
    </row>
    <row r="922" spans="1:10" x14ac:dyDescent="0.2">
      <c r="A922" s="1" t="str">
        <f>"Progress in Optics, Volume63"</f>
        <v>Progress in Optics, Volume63</v>
      </c>
      <c r="B922" s="1" t="str">
        <f>"9780444641106"</f>
        <v>9780444641106</v>
      </c>
      <c r="C922" s="1">
        <v>201.6</v>
      </c>
      <c r="D922" s="1" t="str">
        <f>"USD"</f>
        <v>USD</v>
      </c>
      <c r="E922" s="1" t="str">
        <f>"2018"</f>
        <v>2018</v>
      </c>
      <c r="F922" s="1" t="str">
        <f>"Visser"</f>
        <v>Visser</v>
      </c>
      <c r="G922" s="1" t="str">
        <f>"dehkadehketab"</f>
        <v>dehkadehketab</v>
      </c>
      <c r="J922" s="1"/>
    </row>
    <row r="923" spans="1:10" x14ac:dyDescent="0.2">
      <c r="A923" s="1" t="str">
        <f>"Properties of Petroleum Fluids"</f>
        <v>Properties of Petroleum Fluids</v>
      </c>
      <c r="B923" s="1" t="str">
        <f>"9781593703738"</f>
        <v>9781593703738</v>
      </c>
      <c r="C923" s="1">
        <v>125.25</v>
      </c>
      <c r="D923" s="1" t="str">
        <f>"GBP"</f>
        <v>GBP</v>
      </c>
      <c r="E923" s="1" t="str">
        <f>"2018"</f>
        <v>2018</v>
      </c>
      <c r="F923" s="1" t="str">
        <f>"Â William McCain"</f>
        <v>Â William McCain</v>
      </c>
      <c r="G923" s="1" t="str">
        <f>"kowkab"</f>
        <v>kowkab</v>
      </c>
      <c r="J923" s="1"/>
    </row>
    <row r="924" spans="1:10" x14ac:dyDescent="0.2">
      <c r="A924" s="1" t="str">
        <f>"Properties of Single Organic Molecules On Crystal Surfaces"</f>
        <v>Properties of Single Organic Molecules On Crystal Surfaces</v>
      </c>
      <c r="B924" s="1" t="str">
        <f>"9781860946288"</f>
        <v>9781860946288</v>
      </c>
      <c r="C924" s="1">
        <v>43.5</v>
      </c>
      <c r="D924" s="1" t="str">
        <f>"GBP"</f>
        <v>GBP</v>
      </c>
      <c r="E924" s="1" t="str">
        <f>"2006"</f>
        <v>2006</v>
      </c>
      <c r="F924" s="1" t="str">
        <f>"Grutter Peter E"</f>
        <v>Grutter Peter E</v>
      </c>
      <c r="G924" s="1" t="str">
        <f>"kowkab"</f>
        <v>kowkab</v>
      </c>
      <c r="J924" s="1"/>
    </row>
    <row r="925" spans="1:10" x14ac:dyDescent="0.2">
      <c r="A925" s="1" t="str">
        <f>"PROTON EXCHANGE MEMBRANE FUEL CELLS: MATERIALS PROPERTIES AND PERFORMANCE"</f>
        <v>PROTON EXCHANGE MEMBRANE FUEL CELLS: MATERIALS PROPERTIES AND PERFORMANCE</v>
      </c>
      <c r="B925" s="1" t="str">
        <f>"9781439806647"</f>
        <v>9781439806647</v>
      </c>
      <c r="C925" s="1">
        <v>26.7</v>
      </c>
      <c r="D925" s="1" t="str">
        <f>"GBP"</f>
        <v>GBP</v>
      </c>
      <c r="E925" s="1" t="str">
        <f>"2010"</f>
        <v>2010</v>
      </c>
      <c r="F925" s="1" t="str">
        <f>"XIANGUO LI(EDITOR)"</f>
        <v>XIANGUO LI(EDITOR)</v>
      </c>
      <c r="G925" s="1" t="str">
        <f>"AsarBartar"</f>
        <v>AsarBartar</v>
      </c>
      <c r="J925" s="1"/>
    </row>
    <row r="926" spans="1:10" x14ac:dyDescent="0.2">
      <c r="A926" s="1" t="str">
        <f>"PUBLIC INVESTMENTS IN ENERGY TECHNOLOGY"</f>
        <v>PUBLIC INVESTMENTS IN ENERGY TECHNOLOGY</v>
      </c>
      <c r="B926" s="1" t="str">
        <f>"9780857931573"</f>
        <v>9780857931573</v>
      </c>
      <c r="C926" s="1">
        <v>42</v>
      </c>
      <c r="D926" s="1" t="str">
        <f>"GBP"</f>
        <v>GBP</v>
      </c>
      <c r="E926" s="1" t="str">
        <f>"2012"</f>
        <v>2012</v>
      </c>
      <c r="F926" s="1" t="str">
        <f>"ALAN O'CONNOR"</f>
        <v>ALAN O'CONNOR</v>
      </c>
      <c r="G926" s="1" t="str">
        <f>"AsarBartar"</f>
        <v>AsarBartar</v>
      </c>
      <c r="J926" s="1"/>
    </row>
    <row r="927" spans="1:10" x14ac:dyDescent="0.2">
      <c r="A927" s="1" t="str">
        <f>"Pulsating Stars"</f>
        <v>Pulsating Stars</v>
      </c>
      <c r="B927" s="1" t="str">
        <f>"9783527407156"</f>
        <v>9783527407156</v>
      </c>
      <c r="C927" s="1">
        <v>156.80000000000001</v>
      </c>
      <c r="D927" s="1" t="str">
        <f>"USD"</f>
        <v>USD</v>
      </c>
      <c r="E927" s="1" t="str">
        <f>"2015"</f>
        <v>2015</v>
      </c>
      <c r="F927" s="1" t="str">
        <f>"Catelan"</f>
        <v>Catelan</v>
      </c>
      <c r="G927" s="1" t="str">
        <f>"avanddanesh"</f>
        <v>avanddanesh</v>
      </c>
      <c r="J927" s="1"/>
    </row>
    <row r="928" spans="1:10" x14ac:dyDescent="0.2">
      <c r="A928" s="1" t="str">
        <f>"Pumping Machinery Theory and Practice"</f>
        <v>Pumping Machinery Theory and Practice</v>
      </c>
      <c r="B928" s="1" t="str">
        <f>"9781118932087"</f>
        <v>9781118932087</v>
      </c>
      <c r="C928" s="1">
        <v>84</v>
      </c>
      <c r="D928" s="1" t="str">
        <f>"USD"</f>
        <v>USD</v>
      </c>
      <c r="E928" s="1" t="str">
        <f>"2015"</f>
        <v>2015</v>
      </c>
      <c r="F928" s="1" t="str">
        <f>"Badr"</f>
        <v>Badr</v>
      </c>
      <c r="G928" s="1" t="str">
        <f>"avanddanesh"</f>
        <v>avanddanesh</v>
      </c>
      <c r="J928" s="1"/>
    </row>
    <row r="929" spans="1:10" x14ac:dyDescent="0.2">
      <c r="A929" s="1" t="str">
        <f>"Pumps, Channels and Transporters: Methods of Functional Analysis"</f>
        <v>Pumps, Channels and Transporters: Methods of Functional Analysis</v>
      </c>
      <c r="B929" s="1" t="str">
        <f>"9781118858806"</f>
        <v>9781118858806</v>
      </c>
      <c r="C929" s="1">
        <v>100</v>
      </c>
      <c r="D929" s="1" t="str">
        <f>"USD"</f>
        <v>USD</v>
      </c>
      <c r="E929" s="1" t="str">
        <f>"2015"</f>
        <v>2015</v>
      </c>
      <c r="F929" s="1" t="str">
        <f>"Clarke"</f>
        <v>Clarke</v>
      </c>
      <c r="G929" s="1" t="str">
        <f>"avanddanesh"</f>
        <v>avanddanesh</v>
      </c>
      <c r="J929" s="1"/>
    </row>
    <row r="930" spans="1:10" x14ac:dyDescent="0.2">
      <c r="A930" s="1" t="str">
        <f>"QCD@WORK 2005"</f>
        <v>QCD@WORK 2005</v>
      </c>
      <c r="B930" s="1" t="str">
        <f>"9780735403024"</f>
        <v>9780735403024</v>
      </c>
      <c r="C930" s="1">
        <v>142.28</v>
      </c>
      <c r="D930" s="1" t="str">
        <f>"USD"</f>
        <v>USD</v>
      </c>
      <c r="E930" s="1" t="str">
        <f>"2006"</f>
        <v>2006</v>
      </c>
      <c r="F930" s="1" t="str">
        <f>"Colangelo,P.(Eds)"</f>
        <v>Colangelo,P.(Eds)</v>
      </c>
      <c r="G930" s="1" t="str">
        <f>"safirketab"</f>
        <v>safirketab</v>
      </c>
      <c r="J930" s="1"/>
    </row>
    <row r="931" spans="1:10" x14ac:dyDescent="0.2">
      <c r="A931" s="1" t="str">
        <f>"Quantitative In Silico Chromatography: Computational Modelling of Molecular Interactions"</f>
        <v>Quantitative In Silico Chromatography: Computational Modelling of Molecular Interactions</v>
      </c>
      <c r="B931" s="1" t="str">
        <f>"9781849739917"</f>
        <v>9781849739917</v>
      </c>
      <c r="C931" s="1">
        <v>79.8</v>
      </c>
      <c r="D931" s="1" t="str">
        <f>"GBP"</f>
        <v>GBP</v>
      </c>
      <c r="E931" s="1" t="str">
        <f>"2014"</f>
        <v>2014</v>
      </c>
      <c r="F931" s="1" t="str">
        <f>"Toshihiko HanaiÂ Roge"</f>
        <v>Toshihiko HanaiÂ Roge</v>
      </c>
      <c r="G931" s="1" t="str">
        <f>"arzinbooks"</f>
        <v>arzinbooks</v>
      </c>
      <c r="J931" s="1"/>
    </row>
    <row r="932" spans="1:10" x14ac:dyDescent="0.2">
      <c r="A932" s="1" t="str">
        <f>"Quantum Bio-Informatics: From Quantum Information To Bio-Informatics"</f>
        <v>Quantum Bio-Informatics: From Quantum Information To Bio-Informatics</v>
      </c>
      <c r="B932" s="1" t="str">
        <f>"9789812793164"</f>
        <v>9789812793164</v>
      </c>
      <c r="C932" s="1">
        <v>60.67</v>
      </c>
      <c r="D932" s="1" t="str">
        <f>"USD"</f>
        <v>USD</v>
      </c>
      <c r="E932" s="1" t="str">
        <f>"2008"</f>
        <v>2008</v>
      </c>
      <c r="F932" s="1" t="str">
        <f>"Accardi L Et Al"</f>
        <v>Accardi L Et Al</v>
      </c>
      <c r="G932" s="1" t="str">
        <f>"kowkab"</f>
        <v>kowkab</v>
      </c>
      <c r="J932" s="1"/>
    </row>
    <row r="933" spans="1:10" x14ac:dyDescent="0.2">
      <c r="A933" s="1" t="str">
        <f>"Quantum Control of Multi-Wave Mixing"</f>
        <v>Quantum Control of Multi-Wave Mixing</v>
      </c>
      <c r="B933" s="1" t="str">
        <f>"9783527411894"</f>
        <v>9783527411894</v>
      </c>
      <c r="C933" s="1">
        <v>127.4</v>
      </c>
      <c r="D933" s="1" t="str">
        <f>"USD"</f>
        <v>USD</v>
      </c>
      <c r="E933" s="1" t="str">
        <f>"2013"</f>
        <v>2013</v>
      </c>
      <c r="F933" s="1" t="str">
        <f>"Zhang"</f>
        <v>Zhang</v>
      </c>
      <c r="G933" s="1" t="str">
        <f>"avanddanesh"</f>
        <v>avanddanesh</v>
      </c>
      <c r="J933" s="1"/>
    </row>
    <row r="934" spans="1:10" x14ac:dyDescent="0.2">
      <c r="A934" s="1" t="str">
        <f>"QUANTUM DISSIPATIVE SYSTEMS (FOURTH EDITION)"</f>
        <v>QUANTUM DISSIPATIVE SYSTEMS (FOURTH EDITION)</v>
      </c>
      <c r="B934" s="1" t="str">
        <f>"9789814374910"</f>
        <v>9789814374910</v>
      </c>
      <c r="C934" s="1">
        <v>45</v>
      </c>
      <c r="D934" s="1" t="str">
        <f>"GBP"</f>
        <v>GBP</v>
      </c>
      <c r="E934" s="1" t="str">
        <f>"2012"</f>
        <v>2012</v>
      </c>
      <c r="F934" s="1" t="str">
        <f>"WEISS ULRICH"</f>
        <v>WEISS ULRICH</v>
      </c>
      <c r="G934" s="1" t="str">
        <f>"AsarBartar"</f>
        <v>AsarBartar</v>
      </c>
      <c r="J934" s="1"/>
    </row>
    <row r="935" spans="1:10" x14ac:dyDescent="0.2">
      <c r="A935" s="1" t="str">
        <f>"Quantum Dots for Quantum Information Technologies"</f>
        <v>Quantum Dots for Quantum Information Technologies</v>
      </c>
      <c r="B935" s="1" t="str">
        <f>"9783319563770"</f>
        <v>9783319563770</v>
      </c>
      <c r="C935" s="1">
        <v>134.99</v>
      </c>
      <c r="D935" s="1" t="str">
        <f>"EUR"</f>
        <v>EUR</v>
      </c>
      <c r="E935" s="1" t="str">
        <f>"2017"</f>
        <v>2017</v>
      </c>
      <c r="F935" s="1" t="str">
        <f>"Michler"</f>
        <v>Michler</v>
      </c>
      <c r="G935" s="1" t="str">
        <f>"negarestanabi"</f>
        <v>negarestanabi</v>
      </c>
      <c r="J935" s="1"/>
    </row>
    <row r="936" spans="1:10" x14ac:dyDescent="0.2">
      <c r="A936" s="1" t="str">
        <f>"Quantum Dynamics for Classical Systems: With Applications of the Number Operator"</f>
        <v>Quantum Dynamics for Classical Systems: With Applications of the Number Operator</v>
      </c>
      <c r="B936" s="1" t="str">
        <f>"9781118370681"</f>
        <v>9781118370681</v>
      </c>
      <c r="C936" s="1">
        <v>56.4</v>
      </c>
      <c r="D936" s="1" t="str">
        <f>"USD"</f>
        <v>USD</v>
      </c>
      <c r="E936" s="1" t="str">
        <f>"2012"</f>
        <v>2012</v>
      </c>
      <c r="F936" s="1" t="str">
        <f>"Bagarello"</f>
        <v>Bagarello</v>
      </c>
      <c r="G936" s="1" t="str">
        <f>"avanddanesh"</f>
        <v>avanddanesh</v>
      </c>
      <c r="J936" s="1"/>
    </row>
    <row r="937" spans="1:10" x14ac:dyDescent="0.2">
      <c r="A937" s="1" t="str">
        <f>"Quantum Field Theory and Condensed Matter : An Introduction"</f>
        <v>Quantum Field Theory and Condensed Matter : An Introduction</v>
      </c>
      <c r="B937" s="1" t="str">
        <f>"9780521592109"</f>
        <v>9780521592109</v>
      </c>
      <c r="C937" s="1">
        <v>51</v>
      </c>
      <c r="D937" s="1" t="str">
        <f>"GBP"</f>
        <v>GBP</v>
      </c>
      <c r="E937" s="1" t="str">
        <f>"2017"</f>
        <v>2017</v>
      </c>
      <c r="F937" s="1" t="str">
        <f>"Shankar"</f>
        <v>Shankar</v>
      </c>
      <c r="G937" s="1" t="str">
        <f>"arzinbooks"</f>
        <v>arzinbooks</v>
      </c>
      <c r="J937" s="1"/>
    </row>
    <row r="938" spans="1:10" x14ac:dyDescent="0.2">
      <c r="A938" s="1" t="str">
        <f>"Quantum Field Theory Approach to Condensed Matter Physics"</f>
        <v>Quantum Field Theory Approach to Condensed Matter Physics</v>
      </c>
      <c r="B938" s="1" t="str">
        <f>"9781107074118"</f>
        <v>9781107074118</v>
      </c>
      <c r="C938" s="1">
        <v>55.3</v>
      </c>
      <c r="D938" s="1" t="str">
        <f>"GBP"</f>
        <v>GBP</v>
      </c>
      <c r="E938" s="1" t="str">
        <f>"2017"</f>
        <v>2017</v>
      </c>
      <c r="F938" s="1" t="str">
        <f>"Marino"</f>
        <v>Marino</v>
      </c>
      <c r="G938" s="1" t="str">
        <f>"arzinbooks"</f>
        <v>arzinbooks</v>
      </c>
      <c r="J938" s="1"/>
    </row>
    <row r="939" spans="1:10" x14ac:dyDescent="0.2">
      <c r="A939" s="1" t="str">
        <f>"Quantum Implications: Essays in Honour of David Bohm"</f>
        <v>Quantum Implications: Essays in Honour of David Bohm</v>
      </c>
      <c r="B939" s="1" t="str">
        <f>"9781138148529"</f>
        <v>9781138148529</v>
      </c>
      <c r="C939" s="1">
        <v>90</v>
      </c>
      <c r="D939" s="1" t="str">
        <f>"GBP"</f>
        <v>GBP</v>
      </c>
      <c r="E939" s="1" t="str">
        <f>"2016"</f>
        <v>2016</v>
      </c>
      <c r="F939" s="1" t="str">
        <f>"Hiley"</f>
        <v>Hiley</v>
      </c>
      <c r="G939" s="1" t="str">
        <f>"sal"</f>
        <v>sal</v>
      </c>
      <c r="J939" s="1"/>
    </row>
    <row r="940" spans="1:10" x14ac:dyDescent="0.2">
      <c r="A940" s="1" t="str">
        <f>"Quantum Information Processing with Diamond, Principles and Applications"</f>
        <v>Quantum Information Processing with Diamond, Principles and Applications</v>
      </c>
      <c r="B940" s="1" t="str">
        <f>"9780081013878"</f>
        <v>9780081013878</v>
      </c>
      <c r="C940" s="1">
        <v>225</v>
      </c>
      <c r="D940" s="1" t="str">
        <f>"USD"</f>
        <v>USD</v>
      </c>
      <c r="E940" s="1" t="str">
        <f>"2017"</f>
        <v>2017</v>
      </c>
      <c r="F940" s="1" t="str">
        <f>"Prawer and Aharonovi"</f>
        <v>Prawer and Aharonovi</v>
      </c>
      <c r="G940" s="1" t="str">
        <f>"dehkadehketab"</f>
        <v>dehkadehketab</v>
      </c>
      <c r="J940" s="1"/>
    </row>
    <row r="941" spans="1:10" x14ac:dyDescent="0.2">
      <c r="A941" s="1" t="str">
        <f>"Quantum Information Theory: Mathematical Foundation. 2/ed"</f>
        <v>Quantum Information Theory: Mathematical Foundation. 2/ed</v>
      </c>
      <c r="B941" s="1" t="str">
        <f>"9783662497234"</f>
        <v>9783662497234</v>
      </c>
      <c r="C941" s="1">
        <v>89.99</v>
      </c>
      <c r="D941" s="1" t="str">
        <f>"EUR"</f>
        <v>EUR</v>
      </c>
      <c r="E941" s="1" t="str">
        <f>"2017"</f>
        <v>2017</v>
      </c>
      <c r="F941" s="1" t="str">
        <f>"Hayashi"</f>
        <v>Hayashi</v>
      </c>
      <c r="G941" s="1" t="str">
        <f>"negarestanabi"</f>
        <v>negarestanabi</v>
      </c>
      <c r="J941" s="1"/>
    </row>
    <row r="942" spans="1:10" x14ac:dyDescent="0.2">
      <c r="A942" s="1" t="str">
        <f>"Quantum Magnetism (NATO Science for Peace and Security Series B: Physics and Biophysics)"</f>
        <v>Quantum Magnetism (NATO Science for Peace and Security Series B: Physics and Biophysics)</v>
      </c>
      <c r="B942" s="1" t="str">
        <f>"9781402085109"</f>
        <v>9781402085109</v>
      </c>
      <c r="C942" s="1">
        <v>74.77</v>
      </c>
      <c r="D942" s="1" t="str">
        <f>"USD"</f>
        <v>USD</v>
      </c>
      <c r="E942" s="1" t="str">
        <f>"2008"</f>
        <v>2008</v>
      </c>
      <c r="F942" s="1" t="str">
        <f>"Barbara"</f>
        <v>Barbara</v>
      </c>
      <c r="G942" s="1" t="str">
        <f>"kowkab"</f>
        <v>kowkab</v>
      </c>
      <c r="J942" s="1"/>
    </row>
    <row r="943" spans="1:10" x14ac:dyDescent="0.2">
      <c r="A943" s="1" t="str">
        <f>"Quantum Mechanics and Electrodynamics"</f>
        <v>Quantum Mechanics and Electrodynamics</v>
      </c>
      <c r="B943" s="1" t="str">
        <f>"9783319657790"</f>
        <v>9783319657790</v>
      </c>
      <c r="C943" s="1">
        <v>98.99</v>
      </c>
      <c r="D943" s="1" t="str">
        <f>"EUR"</f>
        <v>EUR</v>
      </c>
      <c r="E943" s="1" t="str">
        <f>"2017"</f>
        <v>2017</v>
      </c>
      <c r="F943" s="1" t="str">
        <f>"Zamastil"</f>
        <v>Zamastil</v>
      </c>
      <c r="G943" s="1" t="str">
        <f>"negarestanabi"</f>
        <v>negarestanabi</v>
      </c>
      <c r="J943" s="1"/>
    </row>
    <row r="944" spans="1:10" x14ac:dyDescent="0.2">
      <c r="A944" s="1" t="str">
        <f>"Quantum Mechanics in Matrix Form"</f>
        <v>Quantum Mechanics in Matrix Form</v>
      </c>
      <c r="B944" s="1" t="str">
        <f>"9783319263649"</f>
        <v>9783319263649</v>
      </c>
      <c r="C944" s="1">
        <v>98.99</v>
      </c>
      <c r="D944" s="1" t="str">
        <f>"EUR"</f>
        <v>EUR</v>
      </c>
      <c r="E944" s="1" t="str">
        <f>"2018"</f>
        <v>2018</v>
      </c>
      <c r="F944" s="1" t="str">
        <f>"Ludyk"</f>
        <v>Ludyk</v>
      </c>
      <c r="G944" s="1" t="str">
        <f>"negarestanabi"</f>
        <v>negarestanabi</v>
      </c>
      <c r="J944" s="1"/>
    </row>
    <row r="945" spans="1:10" x14ac:dyDescent="0.2">
      <c r="A945" s="1" t="str">
        <f>"Quantum Mechanics: A Textbook for Undergraduates, 2nd ed.    "</f>
        <v xml:space="preserve">Quantum Mechanics: A Textbook for Undergraduates, 2nd ed.    </v>
      </c>
      <c r="B945" s="1" t="str">
        <f>"9788120353381"</f>
        <v>9788120353381</v>
      </c>
      <c r="C945" s="1">
        <v>9.6999999999999993</v>
      </c>
      <c r="D945" s="1" t="str">
        <f>"USD"</f>
        <v>USD</v>
      </c>
      <c r="E945" s="1" t="str">
        <f>"2018"</f>
        <v>2018</v>
      </c>
      <c r="F945" s="1" t="str">
        <f>"Jain"</f>
        <v>Jain</v>
      </c>
      <c r="G945" s="1" t="str">
        <f>"negarestanabi"</f>
        <v>negarestanabi</v>
      </c>
      <c r="J945" s="1"/>
    </row>
    <row r="946" spans="1:10" x14ac:dyDescent="0.2">
      <c r="A946" s="1" t="str">
        <f>"Quantum Metrology. Imaging. and Communication"</f>
        <v>Quantum Metrology. Imaging. and Communication</v>
      </c>
      <c r="B946" s="1" t="str">
        <f>"9783319465494"</f>
        <v>9783319465494</v>
      </c>
      <c r="C946" s="1">
        <v>85.49</v>
      </c>
      <c r="D946" s="1" t="str">
        <f>"EUR"</f>
        <v>EUR</v>
      </c>
      <c r="E946" s="1" t="str">
        <f>"2017"</f>
        <v>2017</v>
      </c>
      <c r="F946" s="1" t="str">
        <f>"Simon"</f>
        <v>Simon</v>
      </c>
      <c r="G946" s="1" t="str">
        <f>"negarestanabi"</f>
        <v>negarestanabi</v>
      </c>
      <c r="J946" s="1"/>
    </row>
    <row r="947" spans="1:10" x14ac:dyDescent="0.2">
      <c r="A947" s="1" t="str">
        <f>"Quantum Metrology: Foundation of Units and Measurements"</f>
        <v>Quantum Metrology: Foundation of Units and Measurements</v>
      </c>
      <c r="B947" s="1" t="str">
        <f>"9783527412655"</f>
        <v>9783527412655</v>
      </c>
      <c r="C947" s="1">
        <v>132</v>
      </c>
      <c r="D947" s="1" t="str">
        <f>"USD"</f>
        <v>USD</v>
      </c>
      <c r="E947" s="1" t="str">
        <f>"2015"</f>
        <v>2015</v>
      </c>
      <c r="F947" s="1" t="str">
        <f>"Goebel"</f>
        <v>Goebel</v>
      </c>
      <c r="G947" s="1" t="str">
        <f>"avanddanesh"</f>
        <v>avanddanesh</v>
      </c>
      <c r="J947" s="1"/>
    </row>
    <row r="948" spans="1:10" x14ac:dyDescent="0.2">
      <c r="A948" s="1" t="str">
        <f>"Quantum Monte Carlo Approaches for Correlated Systems"</f>
        <v>Quantum Monte Carlo Approaches for Correlated Systems</v>
      </c>
      <c r="B948" s="1" t="str">
        <f>"9781107129931"</f>
        <v>9781107129931</v>
      </c>
      <c r="C948" s="1">
        <v>42.5</v>
      </c>
      <c r="D948" s="1" t="str">
        <f>"GBP"</f>
        <v>GBP</v>
      </c>
      <c r="E948" s="1" t="str">
        <f>"2018"</f>
        <v>2018</v>
      </c>
      <c r="F948" s="1" t="str">
        <f>"Becca"</f>
        <v>Becca</v>
      </c>
      <c r="G948" s="1" t="str">
        <f>"arzinbooks"</f>
        <v>arzinbooks</v>
      </c>
      <c r="J948" s="1"/>
    </row>
    <row r="949" spans="1:10" x14ac:dyDescent="0.2">
      <c r="A949" s="1" t="str">
        <f>"Quantum Monte Carlo Methods: Algorithms for Lattice Models"</f>
        <v>Quantum Monte Carlo Methods: Algorithms for Lattice Models</v>
      </c>
      <c r="B949" s="1" t="str">
        <f>"9781107006423"</f>
        <v>9781107006423</v>
      </c>
      <c r="C949" s="1">
        <v>37.5</v>
      </c>
      <c r="D949" s="1" t="str">
        <f>"GBP"</f>
        <v>GBP</v>
      </c>
      <c r="E949" s="1" t="str">
        <f>"2016"</f>
        <v>2016</v>
      </c>
      <c r="F949" s="1" t="str">
        <f>"James Gubernatis , N"</f>
        <v>James Gubernatis , N</v>
      </c>
      <c r="G949" s="1" t="str">
        <f>"arzinbooks"</f>
        <v>arzinbooks</v>
      </c>
      <c r="J949" s="1"/>
    </row>
    <row r="950" spans="1:10" x14ac:dyDescent="0.2">
      <c r="A950" s="1" t="str">
        <f>"QUANTUM OPTICS FOR EXPERIMENTALISTS"</f>
        <v>QUANTUM OPTICS FOR EXPERIMENTALISTS</v>
      </c>
      <c r="B950" s="1" t="str">
        <f>"9789813220201"</f>
        <v>9789813220201</v>
      </c>
      <c r="C950" s="1">
        <v>54</v>
      </c>
      <c r="D950" s="1" t="str">
        <f>"GBP"</f>
        <v>GBP</v>
      </c>
      <c r="E950" s="1" t="str">
        <f>"2017"</f>
        <v>2017</v>
      </c>
      <c r="F950" s="1" t="str">
        <f>"OU JEFF ZHE-YU"</f>
        <v>OU JEFF ZHE-YU</v>
      </c>
      <c r="G950" s="1" t="str">
        <f>"AsarBartar"</f>
        <v>AsarBartar</v>
      </c>
      <c r="J950" s="1"/>
    </row>
    <row r="951" spans="1:10" x14ac:dyDescent="0.2">
      <c r="A951" s="1" t="str">
        <f>"Quantum Photonics"</f>
        <v>Quantum Photonics</v>
      </c>
      <c r="B951" s="1" t="str">
        <f>"9783319551425"</f>
        <v>9783319551425</v>
      </c>
      <c r="C951" s="1">
        <v>71.989999999999995</v>
      </c>
      <c r="D951" s="1" t="str">
        <f>"EUR"</f>
        <v>EUR</v>
      </c>
      <c r="E951" s="1" t="str">
        <f>"2017"</f>
        <v>2017</v>
      </c>
      <c r="F951" s="1" t="str">
        <f>"Pearsall"</f>
        <v>Pearsall</v>
      </c>
      <c r="G951" s="1" t="str">
        <f>"negarestanabi"</f>
        <v>negarestanabi</v>
      </c>
      <c r="J951" s="1"/>
    </row>
    <row r="952" spans="1:10" x14ac:dyDescent="0.2">
      <c r="A952" s="1" t="str">
        <f>"Quantum Physics 2V Set"</f>
        <v>Quantum Physics 2V Set</v>
      </c>
      <c r="B952" s="1" t="str">
        <f>"9783527410576"</f>
        <v>9783527410576</v>
      </c>
      <c r="C952" s="1">
        <v>91.6</v>
      </c>
      <c r="D952" s="1" t="str">
        <f>"USD"</f>
        <v>USD</v>
      </c>
      <c r="E952" s="1" t="str">
        <f>"2010"</f>
        <v>2010</v>
      </c>
      <c r="F952" s="1" t="str">
        <f>"Zelevinsky"</f>
        <v>Zelevinsky</v>
      </c>
      <c r="G952" s="1" t="str">
        <f>"avanddanesh"</f>
        <v>avanddanesh</v>
      </c>
      <c r="J952" s="1"/>
    </row>
    <row r="953" spans="1:10" x14ac:dyDescent="0.2">
      <c r="A953" s="1" t="str">
        <f>"Quantum Physics for Beginners"</f>
        <v>Quantum Physics for Beginners</v>
      </c>
      <c r="B953" s="1" t="str">
        <f>"9789814669382"</f>
        <v>9789814669382</v>
      </c>
      <c r="C953" s="1">
        <v>61.19</v>
      </c>
      <c r="D953" s="1" t="str">
        <f>"GBP"</f>
        <v>GBP</v>
      </c>
      <c r="E953" s="1" t="str">
        <f>"2016"</f>
        <v>2016</v>
      </c>
      <c r="F953" s="1" t="str">
        <f>"FICEK"</f>
        <v>FICEK</v>
      </c>
      <c r="G953" s="1" t="str">
        <f>"sal"</f>
        <v>sal</v>
      </c>
      <c r="J953" s="1"/>
    </row>
    <row r="954" spans="1:10" x14ac:dyDescent="0.2">
      <c r="A954" s="1" t="str">
        <f>"Quantum Physics of Light and Matter : Photons. Atoms. and Strongly Correlated Systems. 2/ed"</f>
        <v>Quantum Physics of Light and Matter : Photons. Atoms. and Strongly Correlated Systems. 2/ed</v>
      </c>
      <c r="B954" s="1" t="str">
        <f>"9783319529974"</f>
        <v>9783319529974</v>
      </c>
      <c r="C954" s="1">
        <v>51.29</v>
      </c>
      <c r="D954" s="1" t="str">
        <f>"EUR"</f>
        <v>EUR</v>
      </c>
      <c r="E954" s="1" t="str">
        <f>"2017"</f>
        <v>2017</v>
      </c>
      <c r="F954" s="1" t="str">
        <f>"Salasnich"</f>
        <v>Salasnich</v>
      </c>
      <c r="G954" s="1" t="str">
        <f>"negarestanabi"</f>
        <v>negarestanabi</v>
      </c>
      <c r="J954" s="1"/>
    </row>
    <row r="955" spans="1:10" x14ac:dyDescent="0.2">
      <c r="A955" s="1" t="str">
        <f>"Quantum Physics: V1: From Basics to Symmetries and Perturbations"</f>
        <v>Quantum Physics: V1: From Basics to Symmetries and Perturbations</v>
      </c>
      <c r="B955" s="1" t="str">
        <f>"9783527409792"</f>
        <v>9783527409792</v>
      </c>
      <c r="C955" s="1">
        <v>53.2</v>
      </c>
      <c r="D955" s="1" t="str">
        <f>"USD"</f>
        <v>USD</v>
      </c>
      <c r="E955" s="1" t="str">
        <f>"2010"</f>
        <v>2010</v>
      </c>
      <c r="F955" s="1" t="str">
        <f>"Zelevinsky"</f>
        <v>Zelevinsky</v>
      </c>
      <c r="G955" s="1" t="str">
        <f>"avanddanesh"</f>
        <v>avanddanesh</v>
      </c>
      <c r="J955" s="1"/>
    </row>
    <row r="956" spans="1:10" x14ac:dyDescent="0.2">
      <c r="A956" s="1" t="str">
        <f>"Quantum Physics: V2: From Time-Dependent Dynamics to Many-Body Physics and Quantum Chaos"</f>
        <v>Quantum Physics: V2: From Time-Dependent Dynamics to Many-Body Physics and Quantum Chaos</v>
      </c>
      <c r="B956" s="1" t="str">
        <f>"9783527409846"</f>
        <v>9783527409846</v>
      </c>
      <c r="C956" s="1">
        <v>53.2</v>
      </c>
      <c r="D956" s="1" t="str">
        <f>"USD"</f>
        <v>USD</v>
      </c>
      <c r="E956" s="1" t="str">
        <f>"2010"</f>
        <v>2010</v>
      </c>
      <c r="F956" s="1" t="str">
        <f>"Zelevinsky"</f>
        <v>Zelevinsky</v>
      </c>
      <c r="G956" s="1" t="str">
        <f>"avanddanesh"</f>
        <v>avanddanesh</v>
      </c>
      <c r="J956" s="1"/>
    </row>
    <row r="957" spans="1:10" x14ac:dyDescent="0.2">
      <c r="A957" s="1" t="str">
        <f>"Quantum Plasmonics"</f>
        <v>Quantum Plasmonics</v>
      </c>
      <c r="B957" s="1" t="str">
        <f>"9783319458199"</f>
        <v>9783319458199</v>
      </c>
      <c r="C957" s="1">
        <v>134.99</v>
      </c>
      <c r="D957" s="1" t="str">
        <f>"EUR"</f>
        <v>EUR</v>
      </c>
      <c r="E957" s="1" t="str">
        <f t="shared" ref="E957:E964" si="24">"2017"</f>
        <v>2017</v>
      </c>
      <c r="F957" s="1" t="str">
        <f>"Bozhevolnyi"</f>
        <v>Bozhevolnyi</v>
      </c>
      <c r="G957" s="1" t="str">
        <f>"negarestanabi"</f>
        <v>negarestanabi</v>
      </c>
      <c r="J957" s="1"/>
    </row>
    <row r="958" spans="1:10" x14ac:dyDescent="0.2">
      <c r="A958" s="1" t="str">
        <f>"QUANTUM PUZZLE, THE: CRITIQUE OF QUANTUM THEORY AND ELECTRODYNAMICS"</f>
        <v>QUANTUM PUZZLE, THE: CRITIQUE OF QUANTUM THEORY AND ELECTRODYNAMICS</v>
      </c>
      <c r="B958" s="1" t="str">
        <f>"9789814696968"</f>
        <v>9789814696968</v>
      </c>
      <c r="C958" s="1">
        <v>69.3</v>
      </c>
      <c r="D958" s="1" t="str">
        <f>"GBP"</f>
        <v>GBP</v>
      </c>
      <c r="E958" s="1" t="str">
        <f t="shared" si="24"/>
        <v>2017</v>
      </c>
      <c r="F958" s="1" t="str">
        <f>"CLARKE BARRY R"</f>
        <v>CLARKE BARRY R</v>
      </c>
      <c r="G958" s="1" t="str">
        <f>"AsarBartar"</f>
        <v>AsarBartar</v>
      </c>
      <c r="J958" s="1"/>
    </row>
    <row r="959" spans="1:10" x14ac:dyDescent="0.2">
      <c r="A959" s="1" t="str">
        <f>"Quantum Simulations with Photons and Polaritons: Merging Quantum Optics with Condensed Matter Physics"</f>
        <v>Quantum Simulations with Photons and Polaritons: Merging Quantum Optics with Condensed Matter Physics</v>
      </c>
      <c r="B959" s="1" t="str">
        <f>"9783319520230"</f>
        <v>9783319520230</v>
      </c>
      <c r="C959" s="1">
        <v>87.29</v>
      </c>
      <c r="D959" s="1" t="str">
        <f>"EUR"</f>
        <v>EUR</v>
      </c>
      <c r="E959" s="1" t="str">
        <f t="shared" si="24"/>
        <v>2017</v>
      </c>
      <c r="F959" s="1" t="str">
        <f>"Angelakis"</f>
        <v>Angelakis</v>
      </c>
      <c r="G959" s="1" t="str">
        <f>"negarestanabi"</f>
        <v>negarestanabi</v>
      </c>
      <c r="J959" s="1"/>
    </row>
    <row r="960" spans="1:10" x14ac:dyDescent="0.2">
      <c r="A960" s="1" t="str">
        <f>"Quantum Spin Systems on Infinite Lattices: A Concise Introduction"</f>
        <v>Quantum Spin Systems on Infinite Lattices: A Concise Introduction</v>
      </c>
      <c r="B960" s="1" t="str">
        <f>"9783319514567"</f>
        <v>9783319514567</v>
      </c>
      <c r="C960" s="1">
        <v>31.49</v>
      </c>
      <c r="D960" s="1" t="str">
        <f>"EUR"</f>
        <v>EUR</v>
      </c>
      <c r="E960" s="1" t="str">
        <f t="shared" si="24"/>
        <v>2017</v>
      </c>
      <c r="F960" s="1" t="str">
        <f>"Naaijkens"</f>
        <v>Naaijkens</v>
      </c>
      <c r="G960" s="1" t="str">
        <f>"negarestanabi"</f>
        <v>negarestanabi</v>
      </c>
      <c r="J960" s="1"/>
    </row>
    <row r="961" spans="1:10" x14ac:dyDescent="0.2">
      <c r="A961" s="1" t="str">
        <f>"QUANTUM STRUCTURAL STUDIES: CLASSICAL EMERGENCE FROM THE QUANTUM LEVEL"</f>
        <v>QUANTUM STRUCTURAL STUDIES: CLASSICAL EMERGENCE FROM THE QUANTUM LEVEL</v>
      </c>
      <c r="B961" s="1" t="str">
        <f>"9781786341402"</f>
        <v>9781786341402</v>
      </c>
      <c r="C961" s="1">
        <v>125.1</v>
      </c>
      <c r="D961" s="1" t="str">
        <f>"GBP"</f>
        <v>GBP</v>
      </c>
      <c r="E961" s="1" t="str">
        <f t="shared" si="24"/>
        <v>2017</v>
      </c>
      <c r="F961" s="1" t="str">
        <f>"KASTNER RUTH E ET A"</f>
        <v>KASTNER RUTH E ET A</v>
      </c>
      <c r="G961" s="1" t="str">
        <f>"AsarBartar"</f>
        <v>AsarBartar</v>
      </c>
      <c r="J961" s="1"/>
    </row>
    <row r="962" spans="1:10" x14ac:dyDescent="0.2">
      <c r="A962" s="1" t="str">
        <f>"Quantum Systems under Gravitational Time Dilation"</f>
        <v>Quantum Systems under Gravitational Time Dilation</v>
      </c>
      <c r="B962" s="1" t="str">
        <f>"9783319531915"</f>
        <v>9783319531915</v>
      </c>
      <c r="C962" s="1">
        <v>89.99</v>
      </c>
      <c r="D962" s="1" t="str">
        <f>"EUR"</f>
        <v>EUR</v>
      </c>
      <c r="E962" s="1" t="str">
        <f t="shared" si="24"/>
        <v>2017</v>
      </c>
      <c r="F962" s="1" t="str">
        <f>"Zych"</f>
        <v>Zych</v>
      </c>
      <c r="G962" s="1" t="str">
        <f>"negarestanabi"</f>
        <v>negarestanabi</v>
      </c>
      <c r="J962" s="1"/>
    </row>
    <row r="963" spans="1:10" x14ac:dyDescent="0.2">
      <c r="A963" s="1" t="str">
        <f>"Quantum Theory and Statistical Thermodynamics: Principles and Worked Examples"</f>
        <v>Quantum Theory and Statistical Thermodynamics: Principles and Worked Examples</v>
      </c>
      <c r="B963" s="1" t="str">
        <f>"9783319585949"</f>
        <v>9783319585949</v>
      </c>
      <c r="C963" s="1">
        <v>62.99</v>
      </c>
      <c r="D963" s="1" t="str">
        <f>"EUR"</f>
        <v>EUR</v>
      </c>
      <c r="E963" s="1" t="str">
        <f t="shared" si="24"/>
        <v>2017</v>
      </c>
      <c r="F963" s="1" t="str">
        <f>"Hertel"</f>
        <v>Hertel</v>
      </c>
      <c r="G963" s="1" t="str">
        <f>"negarestanabi"</f>
        <v>negarestanabi</v>
      </c>
      <c r="J963" s="1"/>
    </row>
    <row r="964" spans="1:10" x14ac:dyDescent="0.2">
      <c r="A964" s="1" t="str">
        <f>"Quantum Theory from First Principles : An Informational Approach"</f>
        <v>Quantum Theory from First Principles : An Informational Approach</v>
      </c>
      <c r="B964" s="1" t="str">
        <f>"9781107043428"</f>
        <v>9781107043428</v>
      </c>
      <c r="C964" s="1">
        <v>42.5</v>
      </c>
      <c r="D964" s="1" t="str">
        <f>"GBP"</f>
        <v>GBP</v>
      </c>
      <c r="E964" s="1" t="str">
        <f t="shared" si="24"/>
        <v>2017</v>
      </c>
      <c r="F964" s="1" t="str">
        <f>"D'Ariano"</f>
        <v>D'Ariano</v>
      </c>
      <c r="G964" s="1" t="str">
        <f>"arzinbooks"</f>
        <v>arzinbooks</v>
      </c>
      <c r="J964" s="1"/>
    </row>
    <row r="965" spans="1:10" x14ac:dyDescent="0.2">
      <c r="A965" s="1" t="str">
        <f>"Quantum Theory: Informational Foundations and Foils"</f>
        <v>Quantum Theory: Informational Foundations and Foils</v>
      </c>
      <c r="B965" s="1" t="str">
        <f>"9789401773027"</f>
        <v>9789401773027</v>
      </c>
      <c r="C965" s="1">
        <v>85.49</v>
      </c>
      <c r="D965" s="1" t="str">
        <f>"EUR"</f>
        <v>EUR</v>
      </c>
      <c r="E965" s="1" t="str">
        <f>"2016"</f>
        <v>2016</v>
      </c>
      <c r="F965" s="1" t="str">
        <f>"Chiribella"</f>
        <v>Chiribella</v>
      </c>
      <c r="G965" s="1" t="str">
        <f>"negarestanabi"</f>
        <v>negarestanabi</v>
      </c>
      <c r="J965" s="1"/>
    </row>
    <row r="966" spans="1:10" x14ac:dyDescent="0.2">
      <c r="A966" s="1" t="str">
        <f>"Quantum Triangulations: Moduli Space. Quantum Computing. Non-Linear Sigma Models and Ricci Flow. 2/ed"</f>
        <v>Quantum Triangulations: Moduli Space. Quantum Computing. Non-Linear Sigma Models and Ricci Flow. 2/ed</v>
      </c>
      <c r="B966" s="1" t="str">
        <f>"9783319679365"</f>
        <v>9783319679365</v>
      </c>
      <c r="C966" s="1">
        <v>62.99</v>
      </c>
      <c r="D966" s="1" t="str">
        <f>"EUR"</f>
        <v>EUR</v>
      </c>
      <c r="E966" s="1" t="str">
        <f t="shared" ref="E966:E971" si="25">"2017"</f>
        <v>2017</v>
      </c>
      <c r="F966" s="1" t="str">
        <f>"Carfora"</f>
        <v>Carfora</v>
      </c>
      <c r="G966" s="1" t="str">
        <f>"negarestanabi"</f>
        <v>negarestanabi</v>
      </c>
      <c r="J966" s="1"/>
    </row>
    <row r="967" spans="1:10" x14ac:dyDescent="0.2">
      <c r="A967" s="1" t="str">
        <f>"QUANTUM WORLD OF ULTRA-COLD ATOMS AND LIGHT, THE - BOOK III: ULTRA-COLD ATOMS"</f>
        <v>QUANTUM WORLD OF ULTRA-COLD ATOMS AND LIGHT, THE - BOOK III: ULTRA-COLD ATOMS</v>
      </c>
      <c r="B967" s="1" t="str">
        <f>"9781786344175"</f>
        <v>9781786344175</v>
      </c>
      <c r="C967" s="1">
        <v>141.30000000000001</v>
      </c>
      <c r="D967" s="1" t="str">
        <f>"GBP"</f>
        <v>GBP</v>
      </c>
      <c r="E967" s="1" t="str">
        <f t="shared" si="25"/>
        <v>2017</v>
      </c>
      <c r="F967" s="1" t="str">
        <f>"GARDINER CRISPIN ET"</f>
        <v>GARDINER CRISPIN ET</v>
      </c>
      <c r="G967" s="1" t="str">
        <f>"AsarBartar"</f>
        <v>AsarBartar</v>
      </c>
      <c r="J967" s="1"/>
    </row>
    <row r="968" spans="1:10" x14ac:dyDescent="0.2">
      <c r="A968" s="1" t="str">
        <f>"Quantum-Enhanced Nonlinear Spectroscopy"</f>
        <v>Quantum-Enhanced Nonlinear Spectroscopy</v>
      </c>
      <c r="B968" s="1" t="str">
        <f>"9783319443966"</f>
        <v>9783319443966</v>
      </c>
      <c r="C968" s="1">
        <v>98.99</v>
      </c>
      <c r="D968" s="1" t="str">
        <f>"EUR"</f>
        <v>EUR</v>
      </c>
      <c r="E968" s="1" t="str">
        <f t="shared" si="25"/>
        <v>2017</v>
      </c>
      <c r="F968" s="1" t="str">
        <f>"Schlawin"</f>
        <v>Schlawin</v>
      </c>
      <c r="G968" s="1" t="str">
        <f>"negarestanabi"</f>
        <v>negarestanabi</v>
      </c>
      <c r="J968" s="1"/>
    </row>
    <row r="969" spans="1:10" x14ac:dyDescent="0.2">
      <c r="A969" s="1" t="str">
        <f>"Quantum-Limit Spectroscopy"</f>
        <v>Quantum-Limit Spectroscopy</v>
      </c>
      <c r="B969" s="1" t="str">
        <f>"9781493937387"</f>
        <v>9781493937387</v>
      </c>
      <c r="C969" s="1">
        <v>134.99</v>
      </c>
      <c r="D969" s="1" t="str">
        <f>"EUR"</f>
        <v>EUR</v>
      </c>
      <c r="E969" s="1" t="str">
        <f t="shared" si="25"/>
        <v>2017</v>
      </c>
      <c r="F969" s="1" t="str">
        <f>"Ficek"</f>
        <v>Ficek</v>
      </c>
      <c r="G969" s="1" t="str">
        <f>"negarestanabi"</f>
        <v>negarestanabi</v>
      </c>
      <c r="J969" s="1"/>
    </row>
    <row r="970" spans="1:10" x14ac:dyDescent="0.2">
      <c r="A970" s="1" t="str">
        <f>"Radiation and Detectors: Introduction to the Physics of Radiation and Detection Devices"</f>
        <v>Radiation and Detectors: Introduction to the Physics of Radiation and Detection Devices</v>
      </c>
      <c r="B970" s="1" t="str">
        <f>"9783319531793"</f>
        <v>9783319531793</v>
      </c>
      <c r="C970" s="1">
        <v>51.29</v>
      </c>
      <c r="D970" s="1" t="str">
        <f>"EUR"</f>
        <v>EUR</v>
      </c>
      <c r="E970" s="1" t="str">
        <f t="shared" si="25"/>
        <v>2017</v>
      </c>
      <c r="F970" s="1" t="str">
        <f>"Cerrito"</f>
        <v>Cerrito</v>
      </c>
      <c r="G970" s="1" t="str">
        <f>"negarestanabi"</f>
        <v>negarestanabi</v>
      </c>
      <c r="J970" s="1"/>
    </row>
    <row r="971" spans="1:10" x14ac:dyDescent="0.2">
      <c r="A971" s="1" t="str">
        <f>"Radiation Safety in Radiation Oncology"</f>
        <v>Radiation Safety in Radiation Oncology</v>
      </c>
      <c r="B971" s="1" t="str">
        <f>"9781498762243"</f>
        <v>9781498762243</v>
      </c>
      <c r="C971" s="1">
        <v>73.8</v>
      </c>
      <c r="D971" s="1" t="str">
        <f>"GBP"</f>
        <v>GBP</v>
      </c>
      <c r="E971" s="1" t="str">
        <f t="shared" si="25"/>
        <v>2017</v>
      </c>
      <c r="F971" s="1" t="str">
        <f>"Govinda Rajan"</f>
        <v>Govinda Rajan</v>
      </c>
      <c r="G971" s="1" t="str">
        <f>"sal"</f>
        <v>sal</v>
      </c>
      <c r="J971" s="1"/>
    </row>
    <row r="972" spans="1:10" x14ac:dyDescent="0.2">
      <c r="A972" s="1" t="str">
        <f>"Radiative Transfer in Coupled Environmental Systems: An Introduction to Forward and Inverse Modeling"</f>
        <v>Radiative Transfer in Coupled Environmental Systems: An Introduction to Forward and Inverse Modeling</v>
      </c>
      <c r="B972" s="1" t="str">
        <f>"9783527411382"</f>
        <v>9783527411382</v>
      </c>
      <c r="C972" s="1">
        <v>140</v>
      </c>
      <c r="D972" s="1" t="str">
        <f>"USD"</f>
        <v>USD</v>
      </c>
      <c r="E972" s="1" t="str">
        <f>"2015"</f>
        <v>2015</v>
      </c>
      <c r="F972" s="1" t="str">
        <f>"Stamnes"</f>
        <v>Stamnes</v>
      </c>
      <c r="G972" s="1" t="str">
        <f>"avanddanesh"</f>
        <v>avanddanesh</v>
      </c>
      <c r="J972" s="1"/>
    </row>
    <row r="973" spans="1:10" x14ac:dyDescent="0.2">
      <c r="A973" s="1" t="str">
        <f>"Radiology, Lasers, Nanoparticles and Prosthetics"</f>
        <v>Radiology, Lasers, Nanoparticles and Prosthetics</v>
      </c>
      <c r="B973" s="1" t="str">
        <f>"9783110553109"</f>
        <v>9783110553109</v>
      </c>
      <c r="C973" s="1">
        <v>49.45</v>
      </c>
      <c r="D973" s="1" t="str">
        <f>"EUR"</f>
        <v>EUR</v>
      </c>
      <c r="E973" s="1" t="str">
        <f>"2017"</f>
        <v>2017</v>
      </c>
      <c r="F973" s="1" t="str">
        <f>"Zabel, Hartmut"</f>
        <v>Zabel, Hartmut</v>
      </c>
      <c r="G973" s="1" t="str">
        <f>"AsarBartar"</f>
        <v>AsarBartar</v>
      </c>
      <c r="J973" s="1"/>
    </row>
    <row r="974" spans="1:10" x14ac:dyDescent="0.2">
      <c r="A974" s="1" t="str">
        <f>"Raman Amplifiers for Telecommunications 1"</f>
        <v>Raman Amplifiers for Telecommunications 1</v>
      </c>
      <c r="B974" s="1" t="str">
        <f>"9780387007519"</f>
        <v>9780387007519</v>
      </c>
      <c r="C974" s="1">
        <v>144</v>
      </c>
      <c r="D974" s="1" t="str">
        <f>"USD"</f>
        <v>USD</v>
      </c>
      <c r="E974" s="1" t="str">
        <f>"2003"</f>
        <v>2003</v>
      </c>
      <c r="F974" s="1" t="str">
        <f>"Islam,M.N.(Ed)"</f>
        <v>Islam,M.N.(Ed)</v>
      </c>
      <c r="G974" s="1" t="str">
        <f>"safirketab"</f>
        <v>safirketab</v>
      </c>
      <c r="J974" s="1"/>
    </row>
    <row r="975" spans="1:10" x14ac:dyDescent="0.2">
      <c r="A975" s="1" t="str">
        <f>"Raman Amplifiers for Telecommunications 2"</f>
        <v>Raman Amplifiers for Telecommunications 2</v>
      </c>
      <c r="B975" s="1" t="str">
        <f>"9780387406565"</f>
        <v>9780387406565</v>
      </c>
      <c r="C975" s="1">
        <v>144</v>
      </c>
      <c r="D975" s="1" t="str">
        <f>"USD"</f>
        <v>USD</v>
      </c>
      <c r="E975" s="1" t="str">
        <f>"2003"</f>
        <v>2003</v>
      </c>
      <c r="F975" s="1" t="str">
        <f>"Springer Ser.Optic.S"</f>
        <v>Springer Ser.Optic.S</v>
      </c>
      <c r="G975" s="1" t="str">
        <f>"safirketab"</f>
        <v>safirketab</v>
      </c>
      <c r="J975" s="1"/>
    </row>
    <row r="976" spans="1:10" x14ac:dyDescent="0.2">
      <c r="A976" s="1" t="str">
        <f>"Raman Fiber Lasers"</f>
        <v>Raman Fiber Lasers</v>
      </c>
      <c r="B976" s="1" t="str">
        <f>"9783319652764"</f>
        <v>9783319652764</v>
      </c>
      <c r="C976" s="1">
        <v>107.99</v>
      </c>
      <c r="D976" s="1" t="str">
        <f>"EUR"</f>
        <v>EUR</v>
      </c>
      <c r="E976" s="1" t="str">
        <f>"2017"</f>
        <v>2017</v>
      </c>
      <c r="F976" s="1" t="str">
        <f>"Feng"</f>
        <v>Feng</v>
      </c>
      <c r="G976" s="1" t="str">
        <f>"negarestanabi"</f>
        <v>negarestanabi</v>
      </c>
      <c r="J976" s="1"/>
    </row>
    <row r="977" spans="1:10" x14ac:dyDescent="0.2">
      <c r="A977" s="1" t="str">
        <f>"Raman Spectroscopy in Graphene Related Systems"</f>
        <v>Raman Spectroscopy in Graphene Related Systems</v>
      </c>
      <c r="B977" s="1" t="str">
        <f>"9783527408115"</f>
        <v>9783527408115</v>
      </c>
      <c r="C977" s="1">
        <v>64</v>
      </c>
      <c r="D977" s="1" t="str">
        <f>"USD"</f>
        <v>USD</v>
      </c>
      <c r="E977" s="1" t="str">
        <f>"2011"</f>
        <v>2011</v>
      </c>
      <c r="F977" s="1" t="str">
        <f>"Jorio"</f>
        <v>Jorio</v>
      </c>
      <c r="G977" s="1" t="str">
        <f>"avanddanesh"</f>
        <v>avanddanesh</v>
      </c>
      <c r="J977" s="1"/>
    </row>
    <row r="978" spans="1:10" x14ac:dyDescent="0.2">
      <c r="A978" s="1" t="str">
        <f>"RANDOM FINITE-VALUED DYNAMICAL SYSTEMS : Additive Markov Approach, HB"</f>
        <v>RANDOM FINITE-VALUED DYNAMICAL SYSTEMS : Additive Markov Approach, HB</v>
      </c>
      <c r="B978" s="1" t="str">
        <f>"9781904868743"</f>
        <v>9781904868743</v>
      </c>
      <c r="C978" s="1">
        <v>31.5</v>
      </c>
      <c r="D978" s="1" t="str">
        <f>"GBP"</f>
        <v>GBP</v>
      </c>
      <c r="E978" s="1" t="str">
        <f>"2010"</f>
        <v>2010</v>
      </c>
      <c r="F978" s="1" t="str">
        <f>"Usatenko"</f>
        <v>Usatenko</v>
      </c>
      <c r="G978" s="1" t="str">
        <f>"supply"</f>
        <v>supply</v>
      </c>
      <c r="J978" s="1"/>
    </row>
    <row r="979" spans="1:10" x14ac:dyDescent="0.2">
      <c r="A979" s="1" t="str">
        <f>"Rarefied Gas Dynamics: Fundamentals for Research and Practice"</f>
        <v>Rarefied Gas Dynamics: Fundamentals for Research and Practice</v>
      </c>
      <c r="B979" s="1" t="str">
        <f>"9783527413263"</f>
        <v>9783527413263</v>
      </c>
      <c r="C979" s="1">
        <v>140.30000000000001</v>
      </c>
      <c r="D979" s="1" t="str">
        <f>"USD"</f>
        <v>USD</v>
      </c>
      <c r="E979" s="1" t="str">
        <f>"2016"</f>
        <v>2016</v>
      </c>
      <c r="F979" s="1" t="str">
        <f>"Sharipov"</f>
        <v>Sharipov</v>
      </c>
      <c r="G979" s="1" t="str">
        <f>"avanddanesh"</f>
        <v>avanddanesh</v>
      </c>
      <c r="J979" s="1"/>
    </row>
    <row r="980" spans="1:10" x14ac:dyDescent="0.2">
      <c r="A980" s="1" t="str">
        <f>"Realizing Controllable Quantum States: Proceedings of the International Symposium on Mesoscopic Superconductivity and Spintronics, In the Light of Quantum Computation"</f>
        <v>Realizing Controllable Quantum States: Proceedings of the International Symposium on Mesoscopic Superconductivity and Spintronics, In the Light of Quantum Computation</v>
      </c>
      <c r="B980" s="1" t="str">
        <f>"9789812564689"</f>
        <v>9789812564689</v>
      </c>
      <c r="C980" s="1">
        <v>67.92</v>
      </c>
      <c r="D980" s="1" t="str">
        <f>"USD"</f>
        <v>USD</v>
      </c>
      <c r="E980" s="1" t="str">
        <f>"2005"</f>
        <v>2005</v>
      </c>
      <c r="F980" s="1" t="str">
        <f>"Hideaki Takayanagi a"</f>
        <v>Hideaki Takayanagi a</v>
      </c>
      <c r="G980" s="1" t="str">
        <f>"kowkab"</f>
        <v>kowkab</v>
      </c>
      <c r="J980" s="1"/>
    </row>
    <row r="981" spans="1:10" x14ac:dyDescent="0.2">
      <c r="A981" s="1" t="str">
        <f>"Recurrence Quantification Analysis: Theory and Best Practices"</f>
        <v>Recurrence Quantification Analysis: Theory and Best Practices</v>
      </c>
      <c r="B981" s="1" t="str">
        <f>"9783319071541"</f>
        <v>9783319071541</v>
      </c>
      <c r="C981" s="1">
        <v>85.49</v>
      </c>
      <c r="D981" s="1" t="str">
        <f>"EUR"</f>
        <v>EUR</v>
      </c>
      <c r="E981" s="1" t="str">
        <f>"2015"</f>
        <v>2015</v>
      </c>
      <c r="F981" s="1" t="str">
        <f>"Webber. Jr."</f>
        <v>Webber. Jr.</v>
      </c>
      <c r="G981" s="1" t="str">
        <f>"negarestanabi"</f>
        <v>negarestanabi</v>
      </c>
      <c r="J981" s="1"/>
    </row>
    <row r="982" spans="1:10" x14ac:dyDescent="0.2">
      <c r="A982" s="1" t="str">
        <f>"Reducing Thermal Bridging at Junctions When Designing and Installing Solid Wall Insulation: FB 61 (Bre Trust Report)"</f>
        <v>Reducing Thermal Bridging at Junctions When Designing and Installing Solid Wall Insulation: FB 61 (Bre Trust Report)</v>
      </c>
      <c r="B982" s="1" t="str">
        <f>"9781848063501"</f>
        <v>9781848063501</v>
      </c>
      <c r="C982" s="1">
        <v>24</v>
      </c>
      <c r="D982" s="1" t="str">
        <f>"GBP"</f>
        <v>GBP</v>
      </c>
      <c r="E982" s="1" t="str">
        <f>"2013"</f>
        <v>2013</v>
      </c>
      <c r="F982" s="1" t="str">
        <f>"Colin King"</f>
        <v>Colin King</v>
      </c>
      <c r="G982" s="1" t="str">
        <f>"AsarBartar"</f>
        <v>AsarBartar</v>
      </c>
      <c r="J982" s="1"/>
    </row>
    <row r="983" spans="1:10" x14ac:dyDescent="0.2">
      <c r="A983" s="1" t="str">
        <f>"Refractory Technology: Fundamentals and Applications"</f>
        <v>Refractory Technology: Fundamentals and Applications</v>
      </c>
      <c r="B983" s="1" t="str">
        <f>"9781498754255"</f>
        <v>9781498754255</v>
      </c>
      <c r="C983" s="1">
        <v>78.63</v>
      </c>
      <c r="D983" s="1" t="str">
        <f>"GBP"</f>
        <v>GBP</v>
      </c>
      <c r="E983" s="1" t="str">
        <f>"2016"</f>
        <v>2016</v>
      </c>
      <c r="F983" s="1" t="str">
        <f>"SARKAR"</f>
        <v>SARKAR</v>
      </c>
      <c r="G983" s="1" t="str">
        <f>"sal"</f>
        <v>sal</v>
      </c>
      <c r="J983" s="1"/>
    </row>
    <row r="984" spans="1:10" x14ac:dyDescent="0.2">
      <c r="A984" s="1" t="str">
        <f>"REGIONS OF ATTRACTION AND APPLICATION TO CONTROL THEORY, HB"</f>
        <v>REGIONS OF ATTRACTION AND APPLICATION TO CONTROL THEORY, HB</v>
      </c>
      <c r="B984" s="1" t="str">
        <f>"9781904868590"</f>
        <v>9781904868590</v>
      </c>
      <c r="C984" s="1">
        <v>35</v>
      </c>
      <c r="D984" s="1" t="str">
        <f>"GBP"</f>
        <v>GBP</v>
      </c>
      <c r="E984" s="1" t="str">
        <f>"2008"</f>
        <v>2008</v>
      </c>
      <c r="F984" s="1" t="str">
        <f>"Balint"</f>
        <v>Balint</v>
      </c>
      <c r="G984" s="1" t="str">
        <f>"supply"</f>
        <v>supply</v>
      </c>
      <c r="J984" s="1"/>
    </row>
    <row r="985" spans="1:10" x14ac:dyDescent="0.2">
      <c r="A985" s="1" t="str">
        <f>"Relativistic Many-Body Theory: A New Field-Theoretical Approach. 2/ed"</f>
        <v>Relativistic Many-Body Theory: A New Field-Theoretical Approach. 2/ed</v>
      </c>
      <c r="B985" s="1" t="str">
        <f>"9783319153858"</f>
        <v>9783319153858</v>
      </c>
      <c r="C985" s="1">
        <v>116.99</v>
      </c>
      <c r="D985" s="1" t="str">
        <f>"EUR"</f>
        <v>EUR</v>
      </c>
      <c r="E985" s="1" t="str">
        <f>"2016"</f>
        <v>2016</v>
      </c>
      <c r="F985" s="1" t="str">
        <f>"Lindgren"</f>
        <v>Lindgren</v>
      </c>
      <c r="G985" s="1" t="str">
        <f>"negarestanabi"</f>
        <v>negarestanabi</v>
      </c>
      <c r="J985" s="1"/>
    </row>
    <row r="986" spans="1:10" x14ac:dyDescent="0.2">
      <c r="A986" s="1" t="str">
        <f>"Relativistic Nonlinear Electrodynamics: The QED Vacuum and Matter in Super-Strong Radiation Fields. 2/ed"</f>
        <v>Relativistic Nonlinear Electrodynamics: The QED Vacuum and Matter in Super-Strong Radiation Fields. 2/ed</v>
      </c>
      <c r="B986" s="1" t="str">
        <f>"9783319263823"</f>
        <v>9783319263823</v>
      </c>
      <c r="C986" s="1">
        <v>134.99</v>
      </c>
      <c r="D986" s="1" t="str">
        <f>"EUR"</f>
        <v>EUR</v>
      </c>
      <c r="E986" s="1" t="str">
        <f>"2016"</f>
        <v>2016</v>
      </c>
      <c r="F986" s="1" t="str">
        <f>"Avetissian"</f>
        <v>Avetissian</v>
      </c>
      <c r="G986" s="1" t="str">
        <f>"negarestanabi"</f>
        <v>negarestanabi</v>
      </c>
      <c r="J986" s="1"/>
    </row>
    <row r="987" spans="1:10" x14ac:dyDescent="0.2">
      <c r="A987" s="1" t="str">
        <f>"Relativistic Quantum Chemistry: The Fundamental Theory of Molecular Science,2e"</f>
        <v>Relativistic Quantum Chemistry: The Fundamental Theory of Molecular Science,2e</v>
      </c>
      <c r="B987" s="1" t="str">
        <f>"9783527334155"</f>
        <v>9783527334155</v>
      </c>
      <c r="C987" s="1">
        <v>166.5</v>
      </c>
      <c r="D987" s="1" t="str">
        <f>"USD"</f>
        <v>USD</v>
      </c>
      <c r="E987" s="1" t="str">
        <f>"2014"</f>
        <v>2014</v>
      </c>
      <c r="F987" s="1" t="str">
        <f>"Reiher"</f>
        <v>Reiher</v>
      </c>
      <c r="G987" s="1" t="str">
        <f>"avanddanesh"</f>
        <v>avanddanesh</v>
      </c>
      <c r="J987" s="1"/>
    </row>
    <row r="988" spans="1:10" x14ac:dyDescent="0.2">
      <c r="A988" s="1" t="str">
        <f>"Relativity Matters: From Einstein's EMC2 to Laser Particle Acceleration and Quark-Gluon Plasma"</f>
        <v>Relativity Matters: From Einstein's EMC2 to Laser Particle Acceleration and Quark-Gluon Plasma</v>
      </c>
      <c r="B988" s="1" t="str">
        <f>"9783319512303"</f>
        <v>9783319512303</v>
      </c>
      <c r="C988" s="1">
        <v>67.489999999999995</v>
      </c>
      <c r="D988" s="1" t="str">
        <f>"EUR"</f>
        <v>EUR</v>
      </c>
      <c r="E988" s="1" t="str">
        <f>"2017"</f>
        <v>2017</v>
      </c>
      <c r="F988" s="1" t="str">
        <f>"Rafelski"</f>
        <v>Rafelski</v>
      </c>
      <c r="G988" s="1" t="str">
        <f>"negarestanabi"</f>
        <v>negarestanabi</v>
      </c>
      <c r="J988" s="1"/>
    </row>
    <row r="989" spans="1:10" x14ac:dyDescent="0.2">
      <c r="A989" s="1" t="str">
        <f>"Relativity, HB"</f>
        <v>Relativity, HB</v>
      </c>
      <c r="B989" s="1" t="str">
        <f>"9789380179032"</f>
        <v>9789380179032</v>
      </c>
      <c r="C989" s="1">
        <v>30.24</v>
      </c>
      <c r="D989" s="1" t="str">
        <f>"USD"</f>
        <v>USD</v>
      </c>
      <c r="E989" s="1" t="str">
        <f>"2009"</f>
        <v>2009</v>
      </c>
      <c r="F989" s="1" t="str">
        <f>"Brewster"</f>
        <v>Brewster</v>
      </c>
      <c r="G989" s="1" t="str">
        <f>"supply"</f>
        <v>supply</v>
      </c>
      <c r="J989" s="1"/>
    </row>
    <row r="990" spans="1:10" x14ac:dyDescent="0.2">
      <c r="A990" s="1" t="str">
        <f>"Reliability Investigation on Laser Diode Coupling Electro-Optical Models and Physics of Failure"</f>
        <v>Reliability Investigation on Laser Diode Coupling Electro-Optical Models and Physics of Failure</v>
      </c>
      <c r="B990" s="1" t="str">
        <f>"9781785481499"</f>
        <v>9781785481499</v>
      </c>
      <c r="C990" s="1">
        <v>99</v>
      </c>
      <c r="D990" s="1" t="str">
        <f>"USD"</f>
        <v>USD</v>
      </c>
      <c r="E990" s="1" t="str">
        <f>"2017"</f>
        <v>2017</v>
      </c>
      <c r="F990" s="1" t="str">
        <f>"Vanzi, Massimo"</f>
        <v>Vanzi, Massimo</v>
      </c>
      <c r="G990" s="1" t="str">
        <f>"dehkadehketab"</f>
        <v>dehkadehketab</v>
      </c>
      <c r="J990" s="1"/>
    </row>
    <row r="991" spans="1:10" x14ac:dyDescent="0.2">
      <c r="A991" s="1" t="str">
        <f>"RENEWABLE ELECTRICITY AND THE GRID: THE CHALLENGE OF VARIABILITY"</f>
        <v>RENEWABLE ELECTRICITY AND THE GRID: THE CHALLENGE OF VARIABILITY</v>
      </c>
      <c r="B991" s="1" t="str">
        <f>"9781844077892"</f>
        <v>9781844077892</v>
      </c>
      <c r="C991" s="1">
        <v>8.98</v>
      </c>
      <c r="D991" s="1" t="str">
        <f>"GBP"</f>
        <v>GBP</v>
      </c>
      <c r="E991" s="1" t="str">
        <f>"2009"</f>
        <v>2009</v>
      </c>
      <c r="F991" s="1" t="str">
        <f>"GODFREY BOYLE(EDITO"</f>
        <v>GODFREY BOYLE(EDITO</v>
      </c>
      <c r="G991" s="1" t="str">
        <f>"AsarBartar"</f>
        <v>AsarBartar</v>
      </c>
      <c r="J991" s="1"/>
    </row>
    <row r="992" spans="1:10" x14ac:dyDescent="0.2">
      <c r="A992" s="1" t="str">
        <f>"RENEWABLE ENERGY ; 4 VOLS SET"</f>
        <v>RENEWABLE ENERGY ; 4 VOLS SET</v>
      </c>
      <c r="B992" s="1" t="str">
        <f>"9781844078677"</f>
        <v>9781844078677</v>
      </c>
      <c r="C992" s="1">
        <v>238.5</v>
      </c>
      <c r="D992" s="1" t="str">
        <f>"GBP"</f>
        <v>GBP</v>
      </c>
      <c r="E992" s="1" t="str">
        <f>"2011"</f>
        <v>2011</v>
      </c>
      <c r="F992" s="1" t="str">
        <f>"BENT SORENSEN(EDITO"</f>
        <v>BENT SORENSEN(EDITO</v>
      </c>
      <c r="G992" s="1" t="str">
        <f>"AsarBartar"</f>
        <v>AsarBartar</v>
      </c>
      <c r="J992" s="1"/>
    </row>
    <row r="993" spans="1:10" x14ac:dyDescent="0.2">
      <c r="A993" s="1" t="str">
        <f>"RENEWABLE ENERGY IN EUROPE : MARKETS, TRENDS AND TECHNOLOGIES"</f>
        <v>RENEWABLE ENERGY IN EUROPE : MARKETS, TRENDS AND TECHNOLOGIES</v>
      </c>
      <c r="B993" s="1" t="str">
        <f>"9781844078752"</f>
        <v>9781844078752</v>
      </c>
      <c r="C993" s="1">
        <v>18</v>
      </c>
      <c r="D993" s="1" t="str">
        <f>"GBP"</f>
        <v>GBP</v>
      </c>
      <c r="E993" s="1" t="str">
        <f>"2010"</f>
        <v>2010</v>
      </c>
      <c r="F993" s="1" t="str">
        <f>"EUROPEAN RENEWABLE"</f>
        <v>EUROPEAN RENEWABLE</v>
      </c>
      <c r="G993" s="1" t="str">
        <f>"AsarBartar"</f>
        <v>AsarBartar</v>
      </c>
      <c r="J993" s="1"/>
    </row>
    <row r="994" spans="1:10" x14ac:dyDescent="0.2">
      <c r="A994" s="1" t="str">
        <f>"RENEWABLE ENERGY PROJECT DEVELOPMENT UNDER THE CLEAN DEVELOPMENT MECHANISM"</f>
        <v>RENEWABLE ENERGY PROJECT DEVELOPMENT UNDER THE CLEAN DEVELOPMENT MECHANISM</v>
      </c>
      <c r="B994" s="1" t="str">
        <f>"9781844077373"</f>
        <v>9781844077373</v>
      </c>
      <c r="C994" s="1">
        <v>29.98</v>
      </c>
      <c r="D994" s="1" t="str">
        <f>"GBP"</f>
        <v>GBP</v>
      </c>
      <c r="E994" s="1" t="str">
        <f>"2009"</f>
        <v>2009</v>
      </c>
      <c r="F994" s="1" t="str">
        <f>"ELIZABETH LOKEY"</f>
        <v>ELIZABETH LOKEY</v>
      </c>
      <c r="G994" s="1" t="str">
        <f>"AsarBartar"</f>
        <v>AsarBartar</v>
      </c>
      <c r="J994" s="1"/>
    </row>
    <row r="995" spans="1:10" x14ac:dyDescent="0.2">
      <c r="A995" s="1" t="str">
        <f>"Renewable Energy Resources"</f>
        <v>Renewable Energy Resources</v>
      </c>
      <c r="B995" s="1" t="str">
        <f>"9780415584388"</f>
        <v>9780415584388</v>
      </c>
      <c r="C995" s="1">
        <v>39.1</v>
      </c>
      <c r="D995" s="1" t="str">
        <f>"GBP"</f>
        <v>GBP</v>
      </c>
      <c r="E995" s="1" t="str">
        <f>"2015"</f>
        <v>2015</v>
      </c>
      <c r="F995" s="1" t="str">
        <f>"Tony Weir"</f>
        <v>Tony Weir</v>
      </c>
      <c r="G995" s="1" t="str">
        <f>"AsarBartar"</f>
        <v>AsarBartar</v>
      </c>
      <c r="J995" s="1"/>
    </row>
    <row r="996" spans="1:10" x14ac:dyDescent="0.2">
      <c r="A996" s="1" t="str">
        <f>"Research Methodology: The Aims. Practices and Ethics of Science"</f>
        <v>Research Methodology: The Aims. Practices and Ethics of Science</v>
      </c>
      <c r="B996" s="1" t="str">
        <f>"9783319271668"</f>
        <v>9783319271668</v>
      </c>
      <c r="C996" s="1">
        <v>71.989999999999995</v>
      </c>
      <c r="D996" s="1" t="str">
        <f>"EUR"</f>
        <v>EUR</v>
      </c>
      <c r="E996" s="1" t="str">
        <f>"2016"</f>
        <v>2016</v>
      </c>
      <c r="F996" s="1" t="str">
        <f>"Pruzan"</f>
        <v>Pruzan</v>
      </c>
      <c r="G996" s="1" t="str">
        <f>"negarestanabi"</f>
        <v>negarestanabi</v>
      </c>
      <c r="J996" s="1"/>
    </row>
    <row r="997" spans="1:10" x14ac:dyDescent="0.2">
      <c r="A997" s="1" t="str">
        <f>"RESONANCE AND ASPECT MATCHED ADAPTIVE RADAR (RAMAR)"</f>
        <v>RESONANCE AND ASPECT MATCHED ADAPTIVE RADAR (RAMAR)</v>
      </c>
      <c r="B997" s="1" t="str">
        <f>"9789814329897"</f>
        <v>9789814329897</v>
      </c>
      <c r="C997" s="1">
        <v>58.8</v>
      </c>
      <c r="D997" s="1" t="str">
        <f>"GBP"</f>
        <v>GBP</v>
      </c>
      <c r="E997" s="1" t="str">
        <f>"2012"</f>
        <v>2012</v>
      </c>
      <c r="F997" s="1" t="str">
        <f>"BARRETT TERENCE WIL"</f>
        <v>BARRETT TERENCE WIL</v>
      </c>
      <c r="G997" s="1" t="str">
        <f>"AsarBartar"</f>
        <v>AsarBartar</v>
      </c>
      <c r="J997" s="1"/>
    </row>
    <row r="998" spans="1:10" x14ac:dyDescent="0.2">
      <c r="A998" s="1" t="str">
        <f>"RESONANCE AND BIFURCATION TO CHAOS IN PENDULUM"</f>
        <v>RESONANCE AND BIFURCATION TO CHAOS IN PENDULUM</v>
      </c>
      <c r="B998" s="1" t="str">
        <f>"9789813231672"</f>
        <v>9789813231672</v>
      </c>
      <c r="C998" s="1">
        <v>77.400000000000006</v>
      </c>
      <c r="D998" s="1" t="str">
        <f>"GBP"</f>
        <v>GBP</v>
      </c>
      <c r="E998" s="1" t="str">
        <f>"2018"</f>
        <v>2018</v>
      </c>
      <c r="F998" s="1" t="str">
        <f>"LUO ALBERT C J"</f>
        <v>LUO ALBERT C J</v>
      </c>
      <c r="G998" s="1" t="str">
        <f>"AsarBartar"</f>
        <v>AsarBartar</v>
      </c>
      <c r="J998" s="1"/>
    </row>
    <row r="999" spans="1:10" x14ac:dyDescent="0.2">
      <c r="A999" s="1" t="str">
        <f>"Resonant Tunneling: Quantum Waveguides of Variable Cross-Section. Asymptotics. Numerics. and Applications"</f>
        <v>Resonant Tunneling: Quantum Waveguides of Variable Cross-Section. Asymptotics. Numerics. and Applications</v>
      </c>
      <c r="B999" s="1" t="str">
        <f>"9783319151045"</f>
        <v>9783319151045</v>
      </c>
      <c r="C999" s="1">
        <v>89.99</v>
      </c>
      <c r="D999" s="1" t="str">
        <f>"EUR"</f>
        <v>EUR</v>
      </c>
      <c r="E999" s="1" t="str">
        <f>"2015"</f>
        <v>2015</v>
      </c>
      <c r="F999" s="1" t="str">
        <f>"Baskin"</f>
        <v>Baskin</v>
      </c>
      <c r="G999" s="1" t="str">
        <f>"negarestanabi"</f>
        <v>negarestanabi</v>
      </c>
      <c r="J999" s="1"/>
    </row>
    <row r="1000" spans="1:10" x14ac:dyDescent="0.2">
      <c r="A1000" s="1" t="str">
        <f>"Rethinking the Environmental Impacts of Renewable Energy: Mitigation and management"</f>
        <v>Rethinking the Environmental Impacts of Renewable Energy: Mitigation and management</v>
      </c>
      <c r="B1000" s="1" t="str">
        <f>"9780415722186"</f>
        <v>9780415722186</v>
      </c>
      <c r="C1000" s="1">
        <v>31.45</v>
      </c>
      <c r="D1000" s="1" t="str">
        <f>"GBP"</f>
        <v>GBP</v>
      </c>
      <c r="E1000" s="1" t="str">
        <f>"2016"</f>
        <v>2016</v>
      </c>
      <c r="F1000" s="1" t="str">
        <f>"Alexander Clarke"</f>
        <v>Alexander Clarke</v>
      </c>
      <c r="G1000" s="1" t="str">
        <f>"AsarBartar"</f>
        <v>AsarBartar</v>
      </c>
      <c r="J1000" s="1"/>
    </row>
    <row r="1001" spans="1:10" x14ac:dyDescent="0.2">
      <c r="A1001" s="1" t="str">
        <f>"REVIEWS OF ACCELERATOR SCIENCE AND TECHNOLOGY - VOLUME 9: TECHNOLOGY AND APPLICATIONS OF ADVANCED ACCELERATOR CONCEPTS"</f>
        <v>REVIEWS OF ACCELERATOR SCIENCE AND TECHNOLOGY - VOLUME 9: TECHNOLOGY AND APPLICATIONS OF ADVANCED ACCELERATOR CONCEPTS</v>
      </c>
      <c r="B1001" s="1" t="str">
        <f>"9789813209572"</f>
        <v>9789813209572</v>
      </c>
      <c r="C1001" s="1">
        <v>110.7</v>
      </c>
      <c r="D1001" s="1" t="str">
        <f>"GBP"</f>
        <v>GBP</v>
      </c>
      <c r="E1001" s="1" t="str">
        <f>"2017"</f>
        <v>2017</v>
      </c>
      <c r="F1001" s="1" t="str">
        <f>"CHAO ALEXANDER W ET"</f>
        <v>CHAO ALEXANDER W ET</v>
      </c>
      <c r="G1001" s="1" t="str">
        <f>"AsarBartar"</f>
        <v>AsarBartar</v>
      </c>
      <c r="J1001" s="1"/>
    </row>
    <row r="1002" spans="1:10" x14ac:dyDescent="0.2">
      <c r="A1002" s="1" t="str">
        <f>"Reviews of Nonlinear Dynamics and Complexity V1"</f>
        <v>Reviews of Nonlinear Dynamics and Complexity V1</v>
      </c>
      <c r="B1002" s="1" t="str">
        <f>"9783527407293"</f>
        <v>9783527407293</v>
      </c>
      <c r="C1002" s="1">
        <v>93</v>
      </c>
      <c r="D1002" s="1" t="str">
        <f t="shared" ref="D1002:D1007" si="26">"USD"</f>
        <v>USD</v>
      </c>
      <c r="E1002" s="1" t="str">
        <f>"2008"</f>
        <v>2008</v>
      </c>
      <c r="F1002" s="1" t="str">
        <f>"Schuster"</f>
        <v>Schuster</v>
      </c>
      <c r="G1002" s="1" t="str">
        <f>"safirketab"</f>
        <v>safirketab</v>
      </c>
      <c r="J1002" s="1"/>
    </row>
    <row r="1003" spans="1:10" x14ac:dyDescent="0.2">
      <c r="A1003" s="1" t="str">
        <f>"Reviews of Nonlinear Dynamics and Complexity: V3"</f>
        <v>Reviews of Nonlinear Dynamics and Complexity: V3</v>
      </c>
      <c r="B1003" s="1" t="str">
        <f>"9783527409457"</f>
        <v>9783527409457</v>
      </c>
      <c r="C1003" s="1">
        <v>70.400000000000006</v>
      </c>
      <c r="D1003" s="1" t="str">
        <f t="shared" si="26"/>
        <v>USD</v>
      </c>
      <c r="E1003" s="1" t="str">
        <f>"2010"</f>
        <v>2010</v>
      </c>
      <c r="F1003" s="1" t="str">
        <f>"Schuster"</f>
        <v>Schuster</v>
      </c>
      <c r="G1003" s="1" t="str">
        <f>"avanddanesh"</f>
        <v>avanddanesh</v>
      </c>
      <c r="J1003" s="1"/>
    </row>
    <row r="1004" spans="1:10" x14ac:dyDescent="0.2">
      <c r="A1004" s="1" t="str">
        <f>"Reviews of Nonlinear Dynamics and Complexity:V2"</f>
        <v>Reviews of Nonlinear Dynamics and Complexity:V2</v>
      </c>
      <c r="B1004" s="1" t="str">
        <f>"9783527408504"</f>
        <v>9783527408504</v>
      </c>
      <c r="C1004" s="1">
        <v>116.25</v>
      </c>
      <c r="D1004" s="1" t="str">
        <f t="shared" si="26"/>
        <v>USD</v>
      </c>
      <c r="E1004" s="1" t="str">
        <f>"2009"</f>
        <v>2009</v>
      </c>
      <c r="F1004" s="1" t="str">
        <f>"Schuster"</f>
        <v>Schuster</v>
      </c>
      <c r="G1004" s="1" t="str">
        <f>"safirketab"</f>
        <v>safirketab</v>
      </c>
      <c r="J1004" s="1"/>
    </row>
    <row r="1005" spans="1:10" x14ac:dyDescent="0.2">
      <c r="A1005" s="1" t="str">
        <f>"Reviews of Nonlinear Dynamics and Complexity:V3"</f>
        <v>Reviews of Nonlinear Dynamics and Complexity:V3</v>
      </c>
      <c r="B1005" s="1" t="str">
        <f>"9783527409457"</f>
        <v>9783527409457</v>
      </c>
      <c r="C1005" s="1">
        <v>70.400000000000006</v>
      </c>
      <c r="D1005" s="1" t="str">
        <f t="shared" si="26"/>
        <v>USD</v>
      </c>
      <c r="E1005" s="1" t="str">
        <f>"2010"</f>
        <v>2010</v>
      </c>
      <c r="F1005" s="1" t="str">
        <f>"Schuster"</f>
        <v>Schuster</v>
      </c>
      <c r="G1005" s="1" t="str">
        <f>"safirketab"</f>
        <v>safirketab</v>
      </c>
      <c r="J1005" s="1"/>
    </row>
    <row r="1006" spans="1:10" x14ac:dyDescent="0.2">
      <c r="A1006" s="1" t="str">
        <f>"Rigid Body Mechanics: Mathematics, Physics and Applications"</f>
        <v>Rigid Body Mechanics: Mathematics, Physics and Applications</v>
      </c>
      <c r="B1006" s="1" t="str">
        <f>"9783527406203"</f>
        <v>9783527406203</v>
      </c>
      <c r="C1006" s="1">
        <v>48</v>
      </c>
      <c r="D1006" s="1" t="str">
        <f t="shared" si="26"/>
        <v>USD</v>
      </c>
      <c r="E1006" s="1" t="str">
        <f>"2006"</f>
        <v>2006</v>
      </c>
      <c r="F1006" s="1" t="str">
        <f>"Mathematical Physics"</f>
        <v>Mathematical Physics</v>
      </c>
      <c r="G1006" s="1" t="str">
        <f>"safirketab"</f>
        <v>safirketab</v>
      </c>
      <c r="J1006" s="1"/>
    </row>
    <row r="1007" spans="1:10" x14ac:dyDescent="0.2">
      <c r="A1007" s="1" t="str">
        <f>"Ripples in Spacetime : Einstein, Gravitational Waves, and the Future of Astronomy"</f>
        <v>Ripples in Spacetime : Einstein, Gravitational Waves, and the Future of Astronomy</v>
      </c>
      <c r="B1007" s="1" t="str">
        <f>"9780674971660"</f>
        <v>9780674971660</v>
      </c>
      <c r="C1007" s="1">
        <v>27</v>
      </c>
      <c r="D1007" s="1" t="str">
        <f t="shared" si="26"/>
        <v>USD</v>
      </c>
      <c r="E1007" s="1" t="str">
        <f>"2017"</f>
        <v>2017</v>
      </c>
      <c r="F1007" s="1" t="str">
        <f>"Schilling, Govert"</f>
        <v>Schilling, Govert</v>
      </c>
      <c r="G1007" s="1" t="str">
        <f>"arzinbooks"</f>
        <v>arzinbooks</v>
      </c>
      <c r="J1007" s="1"/>
    </row>
    <row r="1008" spans="1:10" x14ac:dyDescent="0.2">
      <c r="A1008" s="1" t="str">
        <f>"Rogue and Shock Waves in Nonlinear Dispersive Media"</f>
        <v>Rogue and Shock Waves in Nonlinear Dispersive Media</v>
      </c>
      <c r="B1008" s="1" t="str">
        <f>"9783319392127"</f>
        <v>9783319392127</v>
      </c>
      <c r="C1008" s="1">
        <v>62.99</v>
      </c>
      <c r="D1008" s="1" t="str">
        <f>"EUR"</f>
        <v>EUR</v>
      </c>
      <c r="E1008" s="1" t="str">
        <f>"2016"</f>
        <v>2016</v>
      </c>
      <c r="F1008" s="1" t="str">
        <f>"Onorato"</f>
        <v>Onorato</v>
      </c>
      <c r="G1008" s="1" t="str">
        <f>"negarestanabi"</f>
        <v>negarestanabi</v>
      </c>
      <c r="J1008" s="1"/>
    </row>
    <row r="1009" spans="1:10" x14ac:dyDescent="0.2">
      <c r="A1009" s="1" t="str">
        <f>"Room Acoustics, Sixth Edition"</f>
        <v>Room Acoustics, Sixth Edition</v>
      </c>
      <c r="B1009" s="1" t="str">
        <f>"9781482260434"</f>
        <v>9781482260434</v>
      </c>
      <c r="C1009" s="1">
        <v>111.41</v>
      </c>
      <c r="D1009" s="1" t="str">
        <f>"GBP"</f>
        <v>GBP</v>
      </c>
      <c r="E1009" s="1" t="str">
        <f>"2016"</f>
        <v>2016</v>
      </c>
      <c r="F1009" s="1" t="str">
        <f>"KUTTRUFF"</f>
        <v>KUTTRUFF</v>
      </c>
      <c r="G1009" s="1" t="str">
        <f>"sal"</f>
        <v>sal</v>
      </c>
      <c r="J1009" s="1"/>
    </row>
    <row r="1010" spans="1:10" x14ac:dyDescent="0.2">
      <c r="A1010" s="1" t="str">
        <f>"RUSSIAâ€™S ENERGY POLICIES"</f>
        <v>RUSSIAâ€™S ENERGY POLICIES</v>
      </c>
      <c r="B1010" s="1" t="str">
        <f>"9781849800297"</f>
        <v>9781849800297</v>
      </c>
      <c r="C1010" s="1">
        <v>48</v>
      </c>
      <c r="D1010" s="1" t="str">
        <f>"GBP"</f>
        <v>GBP</v>
      </c>
      <c r="E1010" s="1" t="str">
        <f>"2012"</f>
        <v>2012</v>
      </c>
      <c r="F1010" s="1" t="str">
        <f>"AALTO, P."</f>
        <v>AALTO, P.</v>
      </c>
      <c r="G1010" s="1" t="str">
        <f>"AsarBartar"</f>
        <v>AsarBartar</v>
      </c>
      <c r="J1010" s="1"/>
    </row>
    <row r="1011" spans="1:10" x14ac:dyDescent="0.2">
      <c r="A1011" s="1" t="str">
        <f>"Scattering and Structures: Essentials and Analogies in Quantum Physics. 2/ed"</f>
        <v>Scattering and Structures: Essentials and Analogies in Quantum Physics. 2/ed</v>
      </c>
      <c r="B1011" s="1" t="str">
        <f>"9783662545133"</f>
        <v>9783662545133</v>
      </c>
      <c r="C1011" s="1">
        <v>51.29</v>
      </c>
      <c r="D1011" s="1" t="str">
        <f>"EUR"</f>
        <v>EUR</v>
      </c>
      <c r="E1011" s="1" t="str">
        <f>"2017"</f>
        <v>2017</v>
      </c>
      <c r="F1011" s="1" t="str">
        <f>"Povh"</f>
        <v>Povh</v>
      </c>
      <c r="G1011" s="1" t="str">
        <f>"negarestanabi"</f>
        <v>negarestanabi</v>
      </c>
      <c r="J1011" s="1"/>
    </row>
    <row r="1012" spans="1:10" x14ac:dyDescent="0.2">
      <c r="A1012" s="1" t="str">
        <f>"Scattering Theory. 2/ed"</f>
        <v>Scattering Theory. 2/ed</v>
      </c>
      <c r="B1012" s="1" t="str">
        <f>"9783662485248"</f>
        <v>9783662485248</v>
      </c>
      <c r="C1012" s="1">
        <v>85.49</v>
      </c>
      <c r="D1012" s="1" t="str">
        <f>"EUR"</f>
        <v>EUR</v>
      </c>
      <c r="E1012" s="1" t="str">
        <f>"2016"</f>
        <v>2016</v>
      </c>
      <c r="F1012" s="1" t="str">
        <f>"Friedrich"</f>
        <v>Friedrich</v>
      </c>
      <c r="G1012" s="1" t="str">
        <f>"negarestanabi"</f>
        <v>negarestanabi</v>
      </c>
      <c r="J1012" s="1"/>
    </row>
    <row r="1013" spans="1:10" x14ac:dyDescent="0.2">
      <c r="A1013" s="1" t="str">
        <f>"SCHAUMS 3000 SOLVED PROBLEMS IN PHYSICS REVISED"</f>
        <v>SCHAUMS 3000 SOLVED PROBLEMS IN PHYSICS REVISED</v>
      </c>
      <c r="B1013" s="1" t="str">
        <f>"9780071763462"</f>
        <v>9780071763462</v>
      </c>
      <c r="C1013" s="1">
        <v>22.5</v>
      </c>
      <c r="D1013" s="1" t="str">
        <f>"USD"</f>
        <v>USD</v>
      </c>
      <c r="E1013" s="1" t="str">
        <f>"2011"</f>
        <v>2011</v>
      </c>
      <c r="F1013" s="1" t="str">
        <f>"Halpern"</f>
        <v>Halpern</v>
      </c>
      <c r="G1013" s="1" t="str">
        <f>"safirketab"</f>
        <v>safirketab</v>
      </c>
      <c r="J1013" s="1"/>
    </row>
    <row r="1014" spans="1:10" x14ac:dyDescent="0.2">
      <c r="A1014" s="1" t="str">
        <f>"SCHAUMS OUTLINE OF COLLEGE PHYSICS"</f>
        <v>SCHAUMS OUTLINE OF COLLEGE PHYSICS</v>
      </c>
      <c r="B1014" s="1" t="str">
        <f>"9780071754873"</f>
        <v>9780071754873</v>
      </c>
      <c r="C1014" s="1">
        <v>16.5</v>
      </c>
      <c r="D1014" s="1" t="str">
        <f>"USD"</f>
        <v>USD</v>
      </c>
      <c r="E1014" s="1" t="str">
        <f>"2011"</f>
        <v>2011</v>
      </c>
      <c r="F1014" s="1" t="str">
        <f>"BUECHE"</f>
        <v>BUECHE</v>
      </c>
      <c r="G1014" s="1" t="str">
        <f>"safirketab"</f>
        <v>safirketab</v>
      </c>
      <c r="J1014" s="1"/>
    </row>
    <row r="1015" spans="1:10" x14ac:dyDescent="0.2">
      <c r="A1015" s="1" t="str">
        <f>"SCHR?DINGERS KILLER APP:RACE TO BUILD THE WORLDS FIRST QUANTUM COMPUTER"</f>
        <v>SCHR?DINGERS KILLER APP:RACE TO BUILD THE WORLDS FIRST QUANTUM COMPUTER</v>
      </c>
      <c r="B1015" s="1" t="str">
        <f>"9781439896730"</f>
        <v>9781439896730</v>
      </c>
      <c r="C1015" s="1">
        <v>18</v>
      </c>
      <c r="D1015" s="1" t="str">
        <f>"GBP"</f>
        <v>GBP</v>
      </c>
      <c r="E1015" s="1" t="str">
        <f>"2013"</f>
        <v>2013</v>
      </c>
      <c r="F1015" s="1" t="str">
        <f>"DOWLING"</f>
        <v>DOWLING</v>
      </c>
      <c r="G1015" s="1" t="str">
        <f>"AsarBartar"</f>
        <v>AsarBartar</v>
      </c>
      <c r="J1015" s="1"/>
    </row>
    <row r="1016" spans="1:10" x14ac:dyDescent="0.2">
      <c r="A1016" s="1" t="str">
        <f>"SCIENCE OF ENERGY, THE"</f>
        <v>SCIENCE OF ENERGY, THE</v>
      </c>
      <c r="B1016" s="1" t="str">
        <f>"9789814401197"</f>
        <v>9789814401197</v>
      </c>
      <c r="C1016" s="1">
        <v>7.2</v>
      </c>
      <c r="D1016" s="1" t="str">
        <f>"GBP"</f>
        <v>GBP</v>
      </c>
      <c r="E1016" s="1" t="str">
        <f>"2012"</f>
        <v>2012</v>
      </c>
      <c r="F1016" s="1" t="str">
        <f>"NEWTON ROGER G"</f>
        <v>NEWTON ROGER G</v>
      </c>
      <c r="G1016" s="1" t="str">
        <f>"AsarBartar"</f>
        <v>AsarBartar</v>
      </c>
      <c r="J1016" s="1"/>
    </row>
    <row r="1017" spans="1:10" x14ac:dyDescent="0.2">
      <c r="A1017" s="1" t="str">
        <f>"Science With The New Generation of High Energy Gamma-Ray Experiments"</f>
        <v>Science With The New Generation of High Energy Gamma-Ray Experiments</v>
      </c>
      <c r="B1017" s="1" t="str">
        <f>"9789812568137"</f>
        <v>9789812568137</v>
      </c>
      <c r="C1017" s="1">
        <v>49</v>
      </c>
      <c r="D1017" s="1" t="str">
        <f>"GBP"</f>
        <v>GBP</v>
      </c>
      <c r="E1017" s="1" t="str">
        <f>"2006"</f>
        <v>2006</v>
      </c>
      <c r="F1017" s="1" t="str">
        <f>"De Angelis Ales"</f>
        <v>De Angelis Ales</v>
      </c>
      <c r="G1017" s="1" t="str">
        <f>"kowkab"</f>
        <v>kowkab</v>
      </c>
      <c r="J1017" s="1"/>
    </row>
    <row r="1018" spans="1:10" x14ac:dyDescent="0.2">
      <c r="A1018" s="1" t="str">
        <f>"Scientific Astrophotography: How Amateurs Can Generate and Use Professional Imaging Data"</f>
        <v>Scientific Astrophotography: How Amateurs Can Generate and Use Professional Imaging Data</v>
      </c>
      <c r="B1018" s="1" t="str">
        <f>"9781461451723"</f>
        <v>9781461451723</v>
      </c>
      <c r="C1018" s="1">
        <v>34.19</v>
      </c>
      <c r="D1018" s="1" t="str">
        <f>"EUR"</f>
        <v>EUR</v>
      </c>
      <c r="E1018" s="1" t="str">
        <f>"2013"</f>
        <v>2013</v>
      </c>
      <c r="F1018" s="1" t="str">
        <f>"Hubbell"</f>
        <v>Hubbell</v>
      </c>
      <c r="G1018" s="1" t="str">
        <f>"negarestanabi"</f>
        <v>negarestanabi</v>
      </c>
      <c r="J1018" s="1"/>
    </row>
    <row r="1019" spans="1:10" x14ac:dyDescent="0.2">
      <c r="A1019" s="1" t="str">
        <f>"SECURITY OF ENERGY SUPPLY IN EUROPE: NATURAL GAS, NUCLE"</f>
        <v>SECURITY OF ENERGY SUPPLY IN EUROPE: NATURAL GAS, NUCLE</v>
      </c>
      <c r="B1019" s="1" t="str">
        <f>"9781849800327"</f>
        <v>9781849800327</v>
      </c>
      <c r="C1019" s="1">
        <v>28.2</v>
      </c>
      <c r="D1019" s="1" t="str">
        <f>"GBP"</f>
        <v>GBP</v>
      </c>
      <c r="E1019" s="1" t="str">
        <f>"2010"</f>
        <v>2010</v>
      </c>
      <c r="F1019" s="1" t="str">
        <f>"FRANZISKA HOLZ(EDIT"</f>
        <v>FRANZISKA HOLZ(EDIT</v>
      </c>
      <c r="G1019" s="1" t="str">
        <f>"AsarBartar"</f>
        <v>AsarBartar</v>
      </c>
      <c r="J1019" s="1"/>
    </row>
    <row r="1020" spans="1:10" x14ac:dyDescent="0.2">
      <c r="A1020" s="1" t="str">
        <f>"Selected Exercises in Particle and Nuclear Physics"</f>
        <v>Selected Exercises in Particle and Nuclear Physics</v>
      </c>
      <c r="B1020" s="1" t="str">
        <f>"9783319704937"</f>
        <v>9783319704937</v>
      </c>
      <c r="C1020" s="1">
        <v>62.99</v>
      </c>
      <c r="D1020" s="1" t="str">
        <f>"EUR"</f>
        <v>EUR</v>
      </c>
      <c r="E1020" s="1" t="str">
        <f>"2018"</f>
        <v>2018</v>
      </c>
      <c r="F1020" s="1" t="str">
        <f>"Bianchini"</f>
        <v>Bianchini</v>
      </c>
      <c r="G1020" s="1" t="str">
        <f>"negarestanabi"</f>
        <v>negarestanabi</v>
      </c>
      <c r="J1020" s="1"/>
    </row>
    <row r="1021" spans="1:10" x14ac:dyDescent="0.2">
      <c r="A1021" s="1" t="str">
        <f>"SELF-HEALING AT THE NANOSCALE, MECH"</f>
        <v>SELF-HEALING AT THE NANOSCALE, MECH</v>
      </c>
      <c r="B1021" s="1" t="str">
        <f>"9781439854730"</f>
        <v>9781439854730</v>
      </c>
      <c r="C1021" s="1">
        <v>57</v>
      </c>
      <c r="D1021" s="1" t="str">
        <f>"GBP"</f>
        <v>GBP</v>
      </c>
      <c r="E1021" s="1" t="str">
        <f>"2012"</f>
        <v>2012</v>
      </c>
      <c r="F1021" s="1" t="str">
        <f>"AMENDOLA"</f>
        <v>AMENDOLA</v>
      </c>
      <c r="G1021" s="1" t="str">
        <f>"AsarBartar"</f>
        <v>AsarBartar</v>
      </c>
      <c r="J1021" s="1"/>
    </row>
    <row r="1022" spans="1:10" x14ac:dyDescent="0.2">
      <c r="A1022" s="1" t="str">
        <f>"SELLING SOLAR: THE DIFFUSION OF RENEWABLE ENERGY TECHNO"</f>
        <v>SELLING SOLAR: THE DIFFUSION OF RENEWABLE ENERGY TECHNO</v>
      </c>
      <c r="B1022" s="1" t="str">
        <f>"9781844075188"</f>
        <v>9781844075188</v>
      </c>
      <c r="C1022" s="1">
        <v>14.98</v>
      </c>
      <c r="D1022" s="1" t="str">
        <f>"GBP"</f>
        <v>GBP</v>
      </c>
      <c r="E1022" s="1" t="str">
        <f>"2009"</f>
        <v>2009</v>
      </c>
      <c r="F1022" s="1" t="str">
        <f>"DAMIAN MILLER"</f>
        <v>DAMIAN MILLER</v>
      </c>
      <c r="G1022" s="1" t="str">
        <f>"AsarBartar"</f>
        <v>AsarBartar</v>
      </c>
      <c r="J1022" s="1"/>
    </row>
    <row r="1023" spans="1:10" x14ac:dyDescent="0.2">
      <c r="A1023" s="1" t="str">
        <f>"Semiconductor Lasers: Stability. Instability and Chaos. 4/ed"</f>
        <v>Semiconductor Lasers: Stability. Instability and Chaos. 4/ed</v>
      </c>
      <c r="B1023" s="1" t="str">
        <f>"9783319561370"</f>
        <v>9783319561370</v>
      </c>
      <c r="C1023" s="1">
        <v>152.99</v>
      </c>
      <c r="D1023" s="1" t="str">
        <f>"EUR"</f>
        <v>EUR</v>
      </c>
      <c r="E1023" s="1" t="str">
        <f>"2017"</f>
        <v>2017</v>
      </c>
      <c r="F1023" s="1" t="str">
        <f>"Ohtsubo"</f>
        <v>Ohtsubo</v>
      </c>
      <c r="G1023" s="1" t="str">
        <f>"negarestanabi"</f>
        <v>negarestanabi</v>
      </c>
      <c r="J1023" s="1"/>
    </row>
    <row r="1024" spans="1:10" x14ac:dyDescent="0.2">
      <c r="A1024" s="1" t="str">
        <f>"Semiconductor Macroatoms: Basics Physics And Quantum-Device Applications"</f>
        <v>Semiconductor Macroatoms: Basics Physics And Quantum-Device Applications</v>
      </c>
      <c r="B1024" s="1" t="str">
        <f>"9781860946080"</f>
        <v>9781860946080</v>
      </c>
      <c r="C1024" s="1">
        <v>36.5</v>
      </c>
      <c r="D1024" s="1" t="str">
        <f>"GBP"</f>
        <v>GBP</v>
      </c>
      <c r="E1024" s="1" t="str">
        <f>"2005"</f>
        <v>2005</v>
      </c>
      <c r="F1024" s="1" t="str">
        <f>"Rossi Fausto"</f>
        <v>Rossi Fausto</v>
      </c>
      <c r="G1024" s="1" t="str">
        <f>"kowkab"</f>
        <v>kowkab</v>
      </c>
      <c r="J1024" s="1"/>
    </row>
    <row r="1025" spans="1:10" x14ac:dyDescent="0.2">
      <c r="A1025" s="1" t="str">
        <f>"Semiconductors for Photocatalysis, Volume97"</f>
        <v>Semiconductors for Photocatalysis, Volume97</v>
      </c>
      <c r="B1025" s="1" t="str">
        <f>"9780128116876"</f>
        <v>9780128116876</v>
      </c>
      <c r="C1025" s="1">
        <v>220.5</v>
      </c>
      <c r="D1025" s="1" t="str">
        <f>"USD"</f>
        <v>USD</v>
      </c>
      <c r="E1025" s="1" t="str">
        <f>"2017"</f>
        <v>2017</v>
      </c>
      <c r="F1025" s="1" t="str">
        <f>"Mi et al"</f>
        <v>Mi et al</v>
      </c>
      <c r="G1025" s="1" t="str">
        <f>"dehkadehketab"</f>
        <v>dehkadehketab</v>
      </c>
      <c r="J1025" s="1"/>
    </row>
    <row r="1026" spans="1:10" x14ac:dyDescent="0.2">
      <c r="A1026" s="1" t="str">
        <f>"Separable Boundary-Value Problems in Physics"</f>
        <v>Separable Boundary-Value Problems in Physics</v>
      </c>
      <c r="B1026" s="1" t="str">
        <f>"9783527410200"</f>
        <v>9783527410200</v>
      </c>
      <c r="C1026" s="1">
        <v>58</v>
      </c>
      <c r="D1026" s="1" t="str">
        <f>"USD"</f>
        <v>USD</v>
      </c>
      <c r="E1026" s="1" t="str">
        <f>"2011"</f>
        <v>2011</v>
      </c>
      <c r="F1026" s="1" t="str">
        <f>"Willatzen"</f>
        <v>Willatzen</v>
      </c>
      <c r="G1026" s="1" t="str">
        <f>"avanddanesh"</f>
        <v>avanddanesh</v>
      </c>
      <c r="J1026" s="1"/>
    </row>
    <row r="1027" spans="1:10" x14ac:dyDescent="0.2">
      <c r="A1027" s="1" t="str">
        <f>"Separation of Multiphase, Multicomponent Systems"</f>
        <v>Separation of Multiphase, Multicomponent Systems</v>
      </c>
      <c r="B1027" s="1" t="str">
        <f>"9783527406128"</f>
        <v>9783527406128</v>
      </c>
      <c r="C1027" s="1">
        <v>183</v>
      </c>
      <c r="D1027" s="1" t="str">
        <f>"USD"</f>
        <v>USD</v>
      </c>
      <c r="E1027" s="1" t="str">
        <f>"2007"</f>
        <v>2007</v>
      </c>
      <c r="F1027" s="1" t="str">
        <f>"Sinaiski"</f>
        <v>Sinaiski</v>
      </c>
      <c r="G1027" s="1" t="str">
        <f>"safirketab"</f>
        <v>safirketab</v>
      </c>
      <c r="J1027" s="1"/>
    </row>
    <row r="1028" spans="1:10" x14ac:dyDescent="0.2">
      <c r="A1028" s="1" t="str">
        <f>"Set Medical Physics Vol. 1+2"</f>
        <v>Set Medical Physics Vol. 1+2</v>
      </c>
      <c r="B1028" s="1" t="str">
        <f>"9783110559576"</f>
        <v>9783110559576</v>
      </c>
      <c r="C1028" s="1">
        <v>76.45</v>
      </c>
      <c r="D1028" s="1" t="str">
        <f>"EUR"</f>
        <v>EUR</v>
      </c>
      <c r="E1028" s="1" t="str">
        <f>"2017"</f>
        <v>2017</v>
      </c>
      <c r="F1028" s="1" t="str">
        <f>"Zabel, Hartmut"</f>
        <v>Zabel, Hartmut</v>
      </c>
      <c r="G1028" s="1" t="str">
        <f>"AsarBartar"</f>
        <v>AsarBartar</v>
      </c>
      <c r="J1028" s="1"/>
    </row>
    <row r="1029" spans="1:10" x14ac:dyDescent="0.2">
      <c r="A1029" s="1" t="str">
        <f>"Shaping Light in Nonlinear Optical Fibers"</f>
        <v>Shaping Light in Nonlinear Optical Fibers</v>
      </c>
      <c r="B1029" s="1" t="str">
        <f>"9781119088127"</f>
        <v>9781119088127</v>
      </c>
      <c r="C1029" s="1">
        <v>126</v>
      </c>
      <c r="D1029" s="1" t="str">
        <f t="shared" ref="D1029:D1034" si="27">"USD"</f>
        <v>USD</v>
      </c>
      <c r="E1029" s="1" t="str">
        <f>"2017"</f>
        <v>2017</v>
      </c>
      <c r="F1029" s="1" t="str">
        <f>"Boscolo"</f>
        <v>Boscolo</v>
      </c>
      <c r="G1029" s="1" t="str">
        <f>"avanddanesh"</f>
        <v>avanddanesh</v>
      </c>
      <c r="J1029" s="1"/>
    </row>
    <row r="1030" spans="1:10" x14ac:dyDescent="0.2">
      <c r="A1030" s="1" t="str">
        <f>"Silicon Carbide: V1: Growth, Defects, and Novel Applications"</f>
        <v>Silicon Carbide: V1: Growth, Defects, and Novel Applications</v>
      </c>
      <c r="B1030" s="1" t="str">
        <f>"9783527409532"</f>
        <v>9783527409532</v>
      </c>
      <c r="C1030" s="1">
        <v>94.8</v>
      </c>
      <c r="D1030" s="1" t="str">
        <f t="shared" si="27"/>
        <v>USD</v>
      </c>
      <c r="E1030" s="1" t="str">
        <f>"2009"</f>
        <v>2009</v>
      </c>
      <c r="F1030" s="1" t="str">
        <f>"Friedrichs"</f>
        <v>Friedrichs</v>
      </c>
      <c r="G1030" s="1" t="str">
        <f>"avanddanesh"</f>
        <v>avanddanesh</v>
      </c>
      <c r="J1030" s="1"/>
    </row>
    <row r="1031" spans="1:10" x14ac:dyDescent="0.2">
      <c r="A1031" s="1" t="str">
        <f>"Silicon Carbide: V2: Power Devices and Sensors"</f>
        <v>Silicon Carbide: V2: Power Devices and Sensors</v>
      </c>
      <c r="B1031" s="1" t="str">
        <f>"9783527409976"</f>
        <v>9783527409976</v>
      </c>
      <c r="C1031" s="1">
        <v>87.6</v>
      </c>
      <c r="D1031" s="1" t="str">
        <f t="shared" si="27"/>
        <v>USD</v>
      </c>
      <c r="E1031" s="1" t="str">
        <f>"2009"</f>
        <v>2009</v>
      </c>
      <c r="F1031" s="1" t="str">
        <f>"Friedrichs"</f>
        <v>Friedrichs</v>
      </c>
      <c r="G1031" s="1" t="str">
        <f>"avanddanesh"</f>
        <v>avanddanesh</v>
      </c>
      <c r="J1031" s="1"/>
    </row>
    <row r="1032" spans="1:10" x14ac:dyDescent="0.2">
      <c r="A1032" s="1" t="str">
        <f>"Silicon Carbide:2V Set"</f>
        <v>Silicon Carbide:2V Set</v>
      </c>
      <c r="B1032" s="1" t="str">
        <f>"9783527410026"</f>
        <v>9783527410026</v>
      </c>
      <c r="C1032" s="1">
        <v>202.5</v>
      </c>
      <c r="D1032" s="1" t="str">
        <f t="shared" si="27"/>
        <v>USD</v>
      </c>
      <c r="E1032" s="1" t="str">
        <f>"2010"</f>
        <v>2010</v>
      </c>
      <c r="F1032" s="1" t="str">
        <f>"Friedrichs"</f>
        <v>Friedrichs</v>
      </c>
      <c r="G1032" s="1" t="str">
        <f>"safirketab"</f>
        <v>safirketab</v>
      </c>
      <c r="J1032" s="1"/>
    </row>
    <row r="1033" spans="1:10" x14ac:dyDescent="0.2">
      <c r="A1033" s="1" t="str">
        <f>"Silicon Carbide:V1:Growth, Defects, and Novel Applications"</f>
        <v>Silicon Carbide:V1:Growth, Defects, and Novel Applications</v>
      </c>
      <c r="B1033" s="1" t="str">
        <f>"9783527409532"</f>
        <v>9783527409532</v>
      </c>
      <c r="C1033" s="1">
        <v>94.8</v>
      </c>
      <c r="D1033" s="1" t="str">
        <f t="shared" si="27"/>
        <v>USD</v>
      </c>
      <c r="E1033" s="1" t="str">
        <f>"2009"</f>
        <v>2009</v>
      </c>
      <c r="F1033" s="1" t="str">
        <f>"Friedrichs"</f>
        <v>Friedrichs</v>
      </c>
      <c r="G1033" s="1" t="str">
        <f>"safirketab"</f>
        <v>safirketab</v>
      </c>
      <c r="J1033" s="1"/>
    </row>
    <row r="1034" spans="1:10" x14ac:dyDescent="0.2">
      <c r="A1034" s="1" t="str">
        <f>"Silicon Carbide:V2:Power Devices and Sensors"</f>
        <v>Silicon Carbide:V2:Power Devices and Sensors</v>
      </c>
      <c r="B1034" s="1" t="str">
        <f>"9783527409976"</f>
        <v>9783527409976</v>
      </c>
      <c r="C1034" s="1">
        <v>87.6</v>
      </c>
      <c r="D1034" s="1" t="str">
        <f t="shared" si="27"/>
        <v>USD</v>
      </c>
      <c r="E1034" s="1" t="str">
        <f>"2010"</f>
        <v>2010</v>
      </c>
      <c r="F1034" s="1" t="str">
        <f>"Friedrichs"</f>
        <v>Friedrichs</v>
      </c>
      <c r="G1034" s="1" t="str">
        <f>"safirketab"</f>
        <v>safirketab</v>
      </c>
      <c r="J1034" s="1"/>
    </row>
    <row r="1035" spans="1:10" x14ac:dyDescent="0.2">
      <c r="A1035" s="1" t="str">
        <f>"Simple Solutions to Energy Calculations, Fifth Edition"</f>
        <v>Simple Solutions to Energy Calculations, Fifth Edition</v>
      </c>
      <c r="B1035" s="1" t="str">
        <f>"9781482217810"</f>
        <v>9781482217810</v>
      </c>
      <c r="C1035" s="1">
        <v>54.4</v>
      </c>
      <c r="D1035" s="1" t="str">
        <f>"GBP"</f>
        <v>GBP</v>
      </c>
      <c r="E1035" s="1" t="str">
        <f>"2014"</f>
        <v>2014</v>
      </c>
      <c r="F1035" s="1" t="str">
        <f>"Richard R. Vaillenc"</f>
        <v>Richard R. Vaillenc</v>
      </c>
      <c r="G1035" s="1" t="str">
        <f>"AsarBartar"</f>
        <v>AsarBartar</v>
      </c>
      <c r="J1035" s="1"/>
    </row>
    <row r="1036" spans="1:10" x14ac:dyDescent="0.2">
      <c r="A1036" s="1" t="str">
        <f>"Single Frequency Semiconductor Lasers "</f>
        <v xml:space="preserve">Single Frequency Semiconductor Lasers </v>
      </c>
      <c r="B1036" s="1" t="str">
        <f>"9789811052569"</f>
        <v>9789811052569</v>
      </c>
      <c r="C1036" s="1">
        <v>134.99</v>
      </c>
      <c r="D1036" s="1" t="str">
        <f>"EUR"</f>
        <v>EUR</v>
      </c>
      <c r="E1036" s="1" t="str">
        <f>"2017"</f>
        <v>2017</v>
      </c>
      <c r="F1036" s="1" t="str">
        <f>"Fang"</f>
        <v>Fang</v>
      </c>
      <c r="G1036" s="1" t="str">
        <f>"negarestanabi"</f>
        <v>negarestanabi</v>
      </c>
      <c r="J1036" s="1"/>
    </row>
    <row r="1037" spans="1:10" x14ac:dyDescent="0.2">
      <c r="A1037" s="1" t="str">
        <f>"Singularities in nonlinear evolution phenomena and applications"</f>
        <v>Singularities in nonlinear evolution phenomena and applications</v>
      </c>
      <c r="B1037" s="1" t="str">
        <f>"9788876423437"</f>
        <v>9788876423437</v>
      </c>
      <c r="C1037" s="1">
        <v>26.1</v>
      </c>
      <c r="D1037" s="1" t="str">
        <f>"EUR"</f>
        <v>EUR</v>
      </c>
      <c r="E1037" s="1" t="str">
        <f>"2009"</f>
        <v>2009</v>
      </c>
      <c r="F1037" s="1" t="str">
        <f>"Novaga"</f>
        <v>Novaga</v>
      </c>
      <c r="G1037" s="1" t="str">
        <f>"negarestanabi"</f>
        <v>negarestanabi</v>
      </c>
      <c r="J1037" s="1"/>
    </row>
    <row r="1038" spans="1:10" x14ac:dyDescent="0.2">
      <c r="A1038" s="1" t="str">
        <f>"Skyrmions in Condensed Matter"</f>
        <v>Skyrmions in Condensed Matter</v>
      </c>
      <c r="B1038" s="1" t="str">
        <f>"9783319692449"</f>
        <v>9783319692449</v>
      </c>
      <c r="C1038" s="1">
        <v>116.99</v>
      </c>
      <c r="D1038" s="1" t="str">
        <f>"EUR"</f>
        <v>EUR</v>
      </c>
      <c r="E1038" s="1" t="str">
        <f>"2017"</f>
        <v>2017</v>
      </c>
      <c r="F1038" s="1" t="str">
        <f>"Han"</f>
        <v>Han</v>
      </c>
      <c r="G1038" s="1" t="str">
        <f>"negarestanabi"</f>
        <v>negarestanabi</v>
      </c>
      <c r="J1038" s="1"/>
    </row>
    <row r="1039" spans="1:10" x14ac:dyDescent="0.2">
      <c r="A1039" s="1" t="str">
        <f>"Small-Scale Gas to Liquid Fuel Synthesis"</f>
        <v>Small-Scale Gas to Liquid Fuel Synthesis</v>
      </c>
      <c r="B1039" s="1" t="str">
        <f>"9781466599383"</f>
        <v>9781466599383</v>
      </c>
      <c r="C1039" s="1">
        <v>92.8</v>
      </c>
      <c r="D1039" s="1" t="str">
        <f>"GBP"</f>
        <v>GBP</v>
      </c>
      <c r="E1039" s="1" t="str">
        <f>"2015"</f>
        <v>2015</v>
      </c>
      <c r="F1039" s="1" t="str">
        <f>"NICK KANELLOPOULOS("</f>
        <v>NICK KANELLOPOULOS(</v>
      </c>
      <c r="G1039" s="1" t="str">
        <f>"AsarBartar"</f>
        <v>AsarBartar</v>
      </c>
      <c r="J1039" s="1"/>
    </row>
    <row r="1040" spans="1:10" x14ac:dyDescent="0.2">
      <c r="A1040" s="1" t="str">
        <f>"Software-Based Acoustical Measurements"</f>
        <v>Software-Based Acoustical Measurements</v>
      </c>
      <c r="B1040" s="1" t="str">
        <f>"9783319558707"</f>
        <v>9783319558707</v>
      </c>
      <c r="C1040" s="1">
        <v>76.489999999999995</v>
      </c>
      <c r="D1040" s="1" t="str">
        <f>"EUR"</f>
        <v>EUR</v>
      </c>
      <c r="E1040" s="1" t="str">
        <f>"2017"</f>
        <v>2017</v>
      </c>
      <c r="F1040" s="1" t="str">
        <f>"Miyara"</f>
        <v>Miyara</v>
      </c>
      <c r="G1040" s="1" t="str">
        <f>"negarestanabi"</f>
        <v>negarestanabi</v>
      </c>
      <c r="J1040" s="1"/>
    </row>
    <row r="1041" spans="1:10" x14ac:dyDescent="0.2">
      <c r="A1041" s="1" t="str">
        <f>"Solar and Stellar Flares: Observations. Simulations. and Synergies"</f>
        <v>Solar and Stellar Flares: Observations. Simulations. and Synergies</v>
      </c>
      <c r="B1041" s="1" t="str">
        <f>"9789402409345"</f>
        <v>9789402409345</v>
      </c>
      <c r="C1041" s="1">
        <v>134.99</v>
      </c>
      <c r="D1041" s="1" t="str">
        <f>"EUR"</f>
        <v>EUR</v>
      </c>
      <c r="E1041" s="1" t="str">
        <f>"2017"</f>
        <v>2017</v>
      </c>
      <c r="F1041" s="1" t="str">
        <f>"Fletcher"</f>
        <v>Fletcher</v>
      </c>
      <c r="G1041" s="1" t="str">
        <f>"negarestanabi"</f>
        <v>negarestanabi</v>
      </c>
      <c r="J1041" s="1"/>
    </row>
    <row r="1042" spans="1:10" x14ac:dyDescent="0.2">
      <c r="A1042" s="1" t="str">
        <f>"Solar Energetic Particles: A Modern Primer on Understanding Sources. Acceleration and Propagation"</f>
        <v>Solar Energetic Particles: A Modern Primer on Understanding Sources. Acceleration and Propagation</v>
      </c>
      <c r="B1042" s="1" t="str">
        <f>"9783319508702"</f>
        <v>9783319508702</v>
      </c>
      <c r="C1042" s="1">
        <v>31.49</v>
      </c>
      <c r="D1042" s="1" t="str">
        <f>"EUR"</f>
        <v>EUR</v>
      </c>
      <c r="E1042" s="1" t="str">
        <f>"2017"</f>
        <v>2017</v>
      </c>
      <c r="F1042" s="1" t="str">
        <f>"Reames"</f>
        <v>Reames</v>
      </c>
      <c r="G1042" s="1" t="str">
        <f>"negarestanabi"</f>
        <v>negarestanabi</v>
      </c>
      <c r="J1042" s="1"/>
    </row>
    <row r="1043" spans="1:10" x14ac:dyDescent="0.2">
      <c r="A1043" s="1" t="str">
        <f>"Solar Energy Conversion and Storage: Photochemical Modes"</f>
        <v>Solar Energy Conversion and Storage: Photochemical Modes</v>
      </c>
      <c r="B1043" s="1" t="str">
        <f>"9781482246308"</f>
        <v>9781482246308</v>
      </c>
      <c r="C1043" s="1">
        <v>90.1</v>
      </c>
      <c r="D1043" s="1" t="str">
        <f t="shared" ref="D1043:D1050" si="28">"GBP"</f>
        <v>GBP</v>
      </c>
      <c r="E1043" s="1" t="str">
        <f>"2015"</f>
        <v>2015</v>
      </c>
      <c r="F1043" s="1" t="str">
        <f>"Suresh C. Ameta(Edi"</f>
        <v>Suresh C. Ameta(Edi</v>
      </c>
      <c r="G1043" s="1" t="str">
        <f>"AsarBartar"</f>
        <v>AsarBartar</v>
      </c>
      <c r="J1043" s="1"/>
    </row>
    <row r="1044" spans="1:10" x14ac:dyDescent="0.2">
      <c r="A1044" s="1" t="str">
        <f>"Solar Energy Sciences and Engineering Applications"</f>
        <v>Solar Energy Sciences and Engineering Applications</v>
      </c>
      <c r="B1044" s="1" t="str">
        <f>"9781138000131"</f>
        <v>9781138000131</v>
      </c>
      <c r="C1044" s="1">
        <v>88</v>
      </c>
      <c r="D1044" s="1" t="str">
        <f t="shared" si="28"/>
        <v>GBP</v>
      </c>
      <c r="E1044" s="1" t="str">
        <f>"2014"</f>
        <v>2014</v>
      </c>
      <c r="F1044" s="1" t="str">
        <f>"Aliakbar Akbarzadeh"</f>
        <v>Aliakbar Akbarzadeh</v>
      </c>
      <c r="G1044" s="1" t="str">
        <f>"AsarBartar"</f>
        <v>AsarBartar</v>
      </c>
      <c r="J1044" s="1"/>
    </row>
    <row r="1045" spans="1:10" x14ac:dyDescent="0.2">
      <c r="A1045" s="1" t="str">
        <f>"Solar Farms: The Earthcan Expert Guide to Design and Construction of Utility-scale Photovoltaic Systems (Earthscan Expert)"</f>
        <v>Solar Farms: The Earthcan Expert Guide to Design and Construction of Utility-scale Photovoltaic Systems (Earthscan Expert)</v>
      </c>
      <c r="B1045" s="1" t="str">
        <f>"9781138121355"</f>
        <v>9781138121355</v>
      </c>
      <c r="C1045" s="1">
        <v>67.5</v>
      </c>
      <c r="D1045" s="1" t="str">
        <f t="shared" si="28"/>
        <v>GBP</v>
      </c>
      <c r="E1045" s="1" t="str">
        <f>"2017"</f>
        <v>2017</v>
      </c>
      <c r="F1045" s="1" t="str">
        <f>"Susan Neill Geoff S"</f>
        <v>Susan Neill Geoff S</v>
      </c>
      <c r="G1045" s="1" t="str">
        <f>"AsarBartar"</f>
        <v>AsarBartar</v>
      </c>
      <c r="J1045" s="1"/>
    </row>
    <row r="1046" spans="1:10" x14ac:dyDescent="0.2">
      <c r="A1046" s="1" t="str">
        <f>"Solar Fuel Generation"</f>
        <v>Solar Fuel Generation</v>
      </c>
      <c r="B1046" s="1" t="str">
        <f>"9781498725514"</f>
        <v>9781498725514</v>
      </c>
      <c r="C1046" s="1">
        <v>97.2</v>
      </c>
      <c r="D1046" s="1" t="str">
        <f t="shared" si="28"/>
        <v>GBP</v>
      </c>
      <c r="E1046" s="1" t="str">
        <f>"2017"</f>
        <v>2017</v>
      </c>
      <c r="F1046" s="1" t="str">
        <f>"Chaudhary"</f>
        <v>Chaudhary</v>
      </c>
      <c r="G1046" s="1" t="str">
        <f>"sal"</f>
        <v>sal</v>
      </c>
      <c r="J1046" s="1"/>
    </row>
    <row r="1047" spans="1:10" x14ac:dyDescent="0.2">
      <c r="A1047" s="1" t="str">
        <f>"Solar Photovoltaic Basics: A Study Guide for the NABCEP Entry Level Exam"</f>
        <v>Solar Photovoltaic Basics: A Study Guide for the NABCEP Entry Level Exam</v>
      </c>
      <c r="B1047" s="1" t="str">
        <f>"9780415713351"</f>
        <v>9780415713351</v>
      </c>
      <c r="C1047" s="1">
        <v>18.7</v>
      </c>
      <c r="D1047" s="1" t="str">
        <f t="shared" si="28"/>
        <v>GBP</v>
      </c>
      <c r="E1047" s="1" t="str">
        <f>"2015"</f>
        <v>2015</v>
      </c>
      <c r="F1047" s="1" t="str">
        <f>"Sean White"</f>
        <v>Sean White</v>
      </c>
      <c r="G1047" s="1" t="str">
        <f>"AsarBartar"</f>
        <v>AsarBartar</v>
      </c>
      <c r="J1047" s="1"/>
    </row>
    <row r="1048" spans="1:10" x14ac:dyDescent="0.2">
      <c r="A1048" s="1" t="str">
        <f>"Solar Silicon Processes: Technologies, Challenges, and Opportunities"</f>
        <v>Solar Silicon Processes: Technologies, Challenges, and Opportunities</v>
      </c>
      <c r="B1048" s="1" t="str">
        <f>"9781498742658"</f>
        <v>9781498742658</v>
      </c>
      <c r="C1048" s="1">
        <v>164.1</v>
      </c>
      <c r="D1048" s="1" t="str">
        <f t="shared" si="28"/>
        <v>GBP</v>
      </c>
      <c r="E1048" s="1" t="str">
        <f>"2016"</f>
        <v>2016</v>
      </c>
      <c r="F1048" s="1" t="str">
        <f>"Ceccaroli"</f>
        <v>Ceccaroli</v>
      </c>
      <c r="G1048" s="1" t="str">
        <f>"sal"</f>
        <v>sal</v>
      </c>
      <c r="J1048" s="1"/>
    </row>
    <row r="1049" spans="1:10" x14ac:dyDescent="0.2">
      <c r="A1049" s="1" t="str">
        <f>"Solid State Physics"</f>
        <v>Solid State Physics</v>
      </c>
      <c r="B1049" s="1" t="str">
        <f>"9781783322824"</f>
        <v>9781783322824</v>
      </c>
      <c r="C1049" s="1">
        <v>34.96</v>
      </c>
      <c r="D1049" s="1" t="str">
        <f t="shared" si="28"/>
        <v>GBP</v>
      </c>
      <c r="E1049" s="1" t="str">
        <f>"2017"</f>
        <v>2017</v>
      </c>
      <c r="F1049" s="1" t="str">
        <f>"Kushwaha"</f>
        <v>Kushwaha</v>
      </c>
      <c r="G1049" s="1" t="str">
        <f>"safirketab"</f>
        <v>safirketab</v>
      </c>
      <c r="J1049" s="1"/>
    </row>
    <row r="1050" spans="1:10" x14ac:dyDescent="0.2">
      <c r="A1050" s="1" t="str">
        <f>"Solid State Physics"</f>
        <v>Solid State Physics</v>
      </c>
      <c r="B1050" s="1" t="str">
        <f>"9781783322824"</f>
        <v>9781783322824</v>
      </c>
      <c r="C1050" s="1">
        <v>34.97</v>
      </c>
      <c r="D1050" s="1" t="str">
        <f t="shared" si="28"/>
        <v>GBP</v>
      </c>
      <c r="E1050" s="1" t="str">
        <f>"2017"</f>
        <v>2017</v>
      </c>
      <c r="F1050" s="1" t="str">
        <f>"Kushwaha"</f>
        <v>Kushwaha</v>
      </c>
      <c r="G1050" s="1" t="str">
        <f>"jahanadib"</f>
        <v>jahanadib</v>
      </c>
      <c r="J1050" s="1"/>
    </row>
    <row r="1051" spans="1:10" x14ac:dyDescent="0.2">
      <c r="A1051" s="1" t="str">
        <f>"SOLID STATE PHYSICS, HB"</f>
        <v>SOLID STATE PHYSICS, HB</v>
      </c>
      <c r="B1051" s="1" t="str">
        <f>"9789380179070"</f>
        <v>9789380179070</v>
      </c>
      <c r="C1051" s="1">
        <v>20.02</v>
      </c>
      <c r="D1051" s="1" t="str">
        <f>"USD"</f>
        <v>USD</v>
      </c>
      <c r="E1051" s="1" t="str">
        <f>"2009"</f>
        <v>2009</v>
      </c>
      <c r="F1051" s="1" t="str">
        <f>"Brewster"</f>
        <v>Brewster</v>
      </c>
      <c r="G1051" s="1" t="str">
        <f>"supply"</f>
        <v>supply</v>
      </c>
      <c r="J1051" s="1"/>
    </row>
    <row r="1052" spans="1:10" x14ac:dyDescent="0.2">
      <c r="A1052" s="1" t="str">
        <f>"Solid State Physics, HB"</f>
        <v>Solid State Physics, HB</v>
      </c>
      <c r="B1052" s="1" t="str">
        <f>"9789380472126"</f>
        <v>9789380472126</v>
      </c>
      <c r="C1052" s="1">
        <v>17.36</v>
      </c>
      <c r="D1052" s="1" t="str">
        <f>"USD"</f>
        <v>USD</v>
      </c>
      <c r="E1052" s="1" t="str">
        <f>"2010"</f>
        <v>2010</v>
      </c>
      <c r="F1052" s="1" t="str">
        <f>"Khare "</f>
        <v xml:space="preserve">Khare </v>
      </c>
      <c r="G1052" s="1" t="str">
        <f>"supply"</f>
        <v>supply</v>
      </c>
      <c r="J1052" s="1"/>
    </row>
    <row r="1053" spans="1:10" x14ac:dyDescent="0.2">
      <c r="A1053" s="1" t="str">
        <f>"Solid State Physics: An Introduction,2e"</f>
        <v>Solid State Physics: An Introduction,2e</v>
      </c>
      <c r="B1053" s="1" t="str">
        <f>"9783527412822"</f>
        <v>9783527412822</v>
      </c>
      <c r="C1053" s="1">
        <v>56</v>
      </c>
      <c r="D1053" s="1" t="str">
        <f>"USD"</f>
        <v>USD</v>
      </c>
      <c r="E1053" s="1" t="str">
        <f>"2015"</f>
        <v>2015</v>
      </c>
      <c r="F1053" s="1" t="str">
        <f>"Hofmann"</f>
        <v>Hofmann</v>
      </c>
      <c r="G1053" s="1" t="str">
        <f>"avanddanesh"</f>
        <v>avanddanesh</v>
      </c>
      <c r="J1053" s="1"/>
    </row>
    <row r="1054" spans="1:10" x14ac:dyDescent="0.2">
      <c r="A1054" s="1" t="str">
        <f>"Solid State Physics: Structure and Properties of Materials, 3/e"</f>
        <v>Solid State Physics: Structure and Properties of Materials, 3/e</v>
      </c>
      <c r="B1054" s="1" t="str">
        <f>"9781783323487"</f>
        <v>9781783323487</v>
      </c>
      <c r="C1054" s="1">
        <v>34.96</v>
      </c>
      <c r="D1054" s="1" t="str">
        <f>"GBP"</f>
        <v>GBP</v>
      </c>
      <c r="E1054" s="1" t="str">
        <f>"2017"</f>
        <v>2017</v>
      </c>
      <c r="F1054" s="1" t="str">
        <f>"Wahab"</f>
        <v>Wahab</v>
      </c>
      <c r="G1054" s="1" t="str">
        <f>"safirketab"</f>
        <v>safirketab</v>
      </c>
      <c r="J1054" s="1"/>
    </row>
    <row r="1055" spans="1:10" x14ac:dyDescent="0.2">
      <c r="A1055" s="1" t="str">
        <f>"Solid State Physics: Structure and Properties of Materials, 3/e"</f>
        <v>Solid State Physics: Structure and Properties of Materials, 3/e</v>
      </c>
      <c r="B1055" s="1" t="str">
        <f>"9781783323487"</f>
        <v>9781783323487</v>
      </c>
      <c r="C1055" s="1">
        <v>34.97</v>
      </c>
      <c r="D1055" s="1" t="str">
        <f>"GBP"</f>
        <v>GBP</v>
      </c>
      <c r="E1055" s="1" t="str">
        <f>"2017"</f>
        <v>2017</v>
      </c>
      <c r="F1055" s="1" t="str">
        <f>"Wahab"</f>
        <v>Wahab</v>
      </c>
      <c r="G1055" s="1" t="str">
        <f>"jahanadib"</f>
        <v>jahanadib</v>
      </c>
      <c r="J1055" s="1"/>
    </row>
    <row r="1056" spans="1:10" x14ac:dyDescent="0.2">
      <c r="A1056" s="1" t="str">
        <f>"Solved Problems in Electromagnetics"</f>
        <v>Solved Problems in Electromagnetics</v>
      </c>
      <c r="B1056" s="1" t="str">
        <f>"9783662483664"</f>
        <v>9783662483664</v>
      </c>
      <c r="C1056" s="1">
        <v>76.489999999999995</v>
      </c>
      <c r="D1056" s="1" t="str">
        <f>"EUR"</f>
        <v>EUR</v>
      </c>
      <c r="E1056" s="1" t="str">
        <f>"2017"</f>
        <v>2017</v>
      </c>
      <c r="F1056" s="1" t="str">
        <f>"Salazar Bloise"</f>
        <v>Salazar Bloise</v>
      </c>
      <c r="G1056" s="1" t="str">
        <f>"negarestanabi"</f>
        <v>negarestanabi</v>
      </c>
      <c r="J1056" s="1"/>
    </row>
    <row r="1057" spans="1:10" x14ac:dyDescent="0.2">
      <c r="A1057" s="1" t="str">
        <f>"SOME APPLICAITONS OF QUANTUM MECHANICS, HB,          'NEW'"</f>
        <v>SOME APPLICAITONS OF QUANTUM MECHANICS, HB,          'NEW'</v>
      </c>
      <c r="B1057" s="1" t="str">
        <f>"9789535100591"</f>
        <v>9789535100591</v>
      </c>
      <c r="C1057" s="1">
        <v>75</v>
      </c>
      <c r="D1057" s="1" t="str">
        <f>"USD"</f>
        <v>USD</v>
      </c>
      <c r="E1057" s="1" t="str">
        <f>"2014"</f>
        <v>2014</v>
      </c>
      <c r="F1057" s="1" t="str">
        <f>"Pahlavani M. R."</f>
        <v>Pahlavani M. R.</v>
      </c>
      <c r="G1057" s="1" t="str">
        <f>"supply"</f>
        <v>supply</v>
      </c>
      <c r="J1057" s="1"/>
    </row>
    <row r="1058" spans="1:10" x14ac:dyDescent="0.2">
      <c r="A1058" s="1" t="str">
        <f>"Sound Topology. Duality. Coherence and Wave-Mixing: An Introduction to the Emerging New Science of Sound"</f>
        <v>Sound Topology. Duality. Coherence and Wave-Mixing: An Introduction to the Emerging New Science of Sound</v>
      </c>
      <c r="B1058" s="1" t="str">
        <f>"9783319623795"</f>
        <v>9783319623795</v>
      </c>
      <c r="C1058" s="1">
        <v>134.99</v>
      </c>
      <c r="D1058" s="1" t="str">
        <f>"EUR"</f>
        <v>EUR</v>
      </c>
      <c r="E1058" s="1" t="str">
        <f>"2017"</f>
        <v>2017</v>
      </c>
      <c r="F1058" s="1" t="str">
        <f>"Deymier"</f>
        <v>Deymier</v>
      </c>
      <c r="G1058" s="1" t="str">
        <f>"negarestanabi"</f>
        <v>negarestanabi</v>
      </c>
      <c r="J1058" s="1"/>
    </row>
    <row r="1059" spans="1:10" x14ac:dyDescent="0.2">
      <c r="A1059" s="1" t="str">
        <f>"SPACE PHYSICS AND PLASMA PHYSICS, PB"</f>
        <v>SPACE PHYSICS AND PLASMA PHYSICS, PB</v>
      </c>
      <c r="B1059" s="1" t="str">
        <f>"9781904868767"</f>
        <v>9781904868767</v>
      </c>
      <c r="C1059" s="1">
        <v>21</v>
      </c>
      <c r="D1059" s="1" t="str">
        <f>"GBP"</f>
        <v>GBP</v>
      </c>
      <c r="E1059" s="1" t="str">
        <f>"2009"</f>
        <v>2009</v>
      </c>
      <c r="F1059" s="1" t="str">
        <f>"Beskin"</f>
        <v>Beskin</v>
      </c>
      <c r="G1059" s="1" t="str">
        <f>"supply"</f>
        <v>supply</v>
      </c>
      <c r="J1059" s="1"/>
    </row>
    <row r="1060" spans="1:10" x14ac:dyDescent="0.2">
      <c r="A1060" s="1" t="str">
        <f>"Special Relativity and How it Works"</f>
        <v>Special Relativity and How it Works</v>
      </c>
      <c r="B1060" s="1" t="str">
        <f>"9783527406074"</f>
        <v>9783527406074</v>
      </c>
      <c r="C1060" s="1">
        <v>57</v>
      </c>
      <c r="D1060" s="1" t="str">
        <f>"USD"</f>
        <v>USD</v>
      </c>
      <c r="E1060" s="1" t="str">
        <f>"2008"</f>
        <v>2008</v>
      </c>
      <c r="F1060" s="1" t="str">
        <f>"Fayngold"</f>
        <v>Fayngold</v>
      </c>
      <c r="G1060" s="1" t="str">
        <f>"safirketab"</f>
        <v>safirketab</v>
      </c>
      <c r="J1060" s="1"/>
    </row>
    <row r="1061" spans="1:10" x14ac:dyDescent="0.2">
      <c r="A1061" s="1" t="str">
        <f>"Special Relativity, Electrodynamics, and General Relativity, From Newton to Einstein, 2nd Edition"</f>
        <v>Special Relativity, Electrodynamics, and General Relativity, From Newton to Einstein, 2nd Edition</v>
      </c>
      <c r="B1061" s="1" t="str">
        <f>"9780128136935"</f>
        <v>9780128136935</v>
      </c>
      <c r="C1061" s="1">
        <v>171</v>
      </c>
      <c r="D1061" s="1" t="str">
        <f>"USD"</f>
        <v>USD</v>
      </c>
      <c r="E1061" s="1" t="str">
        <f>"2018"</f>
        <v>2018</v>
      </c>
      <c r="F1061" s="1" t="str">
        <f>"Kogut"</f>
        <v>Kogut</v>
      </c>
      <c r="G1061" s="1" t="str">
        <f>"dehkadehketab"</f>
        <v>dehkadehketab</v>
      </c>
      <c r="J1061" s="1"/>
    </row>
    <row r="1062" spans="1:10" x14ac:dyDescent="0.2">
      <c r="A1062" s="1" t="str">
        <f>"Special Theory of Relativity"</f>
        <v>Special Theory of Relativity</v>
      </c>
      <c r="B1062" s="1" t="str">
        <f>"9781783322077"</f>
        <v>9781783322077</v>
      </c>
      <c r="C1062" s="1">
        <v>20.97</v>
      </c>
      <c r="D1062" s="1" t="str">
        <f>"GBP"</f>
        <v>GBP</v>
      </c>
      <c r="E1062" s="1" t="str">
        <f>"2015"</f>
        <v>2015</v>
      </c>
      <c r="F1062" s="1" t="str">
        <f>"Devanathan"</f>
        <v>Devanathan</v>
      </c>
      <c r="G1062" s="1" t="str">
        <f>"jahanadib"</f>
        <v>jahanadib</v>
      </c>
      <c r="J1062" s="1"/>
    </row>
    <row r="1063" spans="1:10" x14ac:dyDescent="0.2">
      <c r="A1063" s="1" t="str">
        <f>"Special Theory of Relativity"</f>
        <v>Special Theory of Relativity</v>
      </c>
      <c r="B1063" s="1" t="str">
        <f>"9781942270720"</f>
        <v>9781942270720</v>
      </c>
      <c r="C1063" s="1">
        <v>47.6</v>
      </c>
      <c r="D1063" s="1" t="str">
        <f>"GBP"</f>
        <v>GBP</v>
      </c>
      <c r="E1063" s="1" t="str">
        <f>"2016"</f>
        <v>2016</v>
      </c>
      <c r="F1063" s="1" t="str">
        <f>"Morris"</f>
        <v>Morris</v>
      </c>
      <c r="G1063" s="1" t="str">
        <f>"jahanadib"</f>
        <v>jahanadib</v>
      </c>
      <c r="J1063" s="1"/>
    </row>
    <row r="1064" spans="1:10" x14ac:dyDescent="0.2">
      <c r="A1064" s="1" t="str">
        <f>"Special Theory of Relativity, 2/e"</f>
        <v>Special Theory of Relativity, 2/e</v>
      </c>
      <c r="B1064" s="1" t="str">
        <f>"9788120346444"</f>
        <v>9788120346444</v>
      </c>
      <c r="C1064" s="1">
        <v>6.8</v>
      </c>
      <c r="D1064" s="1" t="str">
        <f>"USD"</f>
        <v>USD</v>
      </c>
      <c r="E1064" s="1" t="str">
        <f>"2016"</f>
        <v>2016</v>
      </c>
      <c r="F1064" s="1" t="str">
        <f>"Banerji"</f>
        <v>Banerji</v>
      </c>
      <c r="G1064" s="1" t="str">
        <f>"safirketab"</f>
        <v>safirketab</v>
      </c>
      <c r="J1064" s="1"/>
    </row>
    <row r="1065" spans="1:10" x14ac:dyDescent="0.2">
      <c r="A1065" s="1" t="str">
        <f>"Special Theory of Relativity, 2/e"</f>
        <v>Special Theory of Relativity, 2/e</v>
      </c>
      <c r="B1065" s="1" t="str">
        <f>"9788120346444"</f>
        <v>9788120346444</v>
      </c>
      <c r="C1065" s="1">
        <v>6.8</v>
      </c>
      <c r="D1065" s="1" t="str">
        <f>"USD"</f>
        <v>USD</v>
      </c>
      <c r="E1065" s="1" t="str">
        <f>"2016"</f>
        <v>2016</v>
      </c>
      <c r="F1065" s="1" t="str">
        <f>"Banerji"</f>
        <v>Banerji</v>
      </c>
      <c r="G1065" s="1" t="str">
        <f>"jahanadib"</f>
        <v>jahanadib</v>
      </c>
      <c r="J1065" s="1"/>
    </row>
    <row r="1066" spans="1:10" x14ac:dyDescent="0.2">
      <c r="A1066" s="1" t="str">
        <f>"Spectral Methods"</f>
        <v>Spectral Methods</v>
      </c>
      <c r="B1066" s="1" t="str">
        <f>"9783540307259"</f>
        <v>9783540307259</v>
      </c>
      <c r="C1066" s="1">
        <v>67.989999999999995</v>
      </c>
      <c r="D1066" s="1" t="str">
        <f>"USD"</f>
        <v>USD</v>
      </c>
      <c r="E1066" s="1" t="str">
        <f>"2006"</f>
        <v>2006</v>
      </c>
      <c r="F1066" s="1" t="str">
        <f>"Claudio Canuto"</f>
        <v>Claudio Canuto</v>
      </c>
      <c r="G1066" s="1" t="str">
        <f>"safirketab"</f>
        <v>safirketab</v>
      </c>
      <c r="J1066" s="1"/>
    </row>
    <row r="1067" spans="1:10" x14ac:dyDescent="0.2">
      <c r="A1067" s="1" t="str">
        <f>"Spectral Methods in Chemistry and Physics: Applications to Kinetic Theory and Quantum Mechanics"</f>
        <v>Spectral Methods in Chemistry and Physics: Applications to Kinetic Theory and Quantum Mechanics</v>
      </c>
      <c r="B1067" s="1" t="str">
        <f>"9789401794534"</f>
        <v>9789401794534</v>
      </c>
      <c r="C1067" s="1">
        <v>85.49</v>
      </c>
      <c r="D1067" s="1" t="str">
        <f>"EUR"</f>
        <v>EUR</v>
      </c>
      <c r="E1067" s="1" t="str">
        <f>"2015"</f>
        <v>2015</v>
      </c>
      <c r="F1067" s="1" t="str">
        <f>"Shizgal"</f>
        <v>Shizgal</v>
      </c>
      <c r="G1067" s="1" t="str">
        <f>"negarestanabi"</f>
        <v>negarestanabi</v>
      </c>
      <c r="J1067" s="1"/>
    </row>
    <row r="1068" spans="1:10" x14ac:dyDescent="0.2">
      <c r="A1068" s="1" t="str">
        <f>"Spectroscopic Investigations of Superconductors"</f>
        <v>Spectroscopic Investigations of Superconductors</v>
      </c>
      <c r="B1068" s="1" t="str">
        <f>"9780471185062"</f>
        <v>9780471185062</v>
      </c>
      <c r="C1068" s="1">
        <v>184.5</v>
      </c>
      <c r="D1068" s="1" t="str">
        <f>"USD"</f>
        <v>USD</v>
      </c>
      <c r="E1068" s="1" t="str">
        <f>"2017"</f>
        <v>2017</v>
      </c>
      <c r="F1068" s="1" t="str">
        <f>"Poole"</f>
        <v>Poole</v>
      </c>
      <c r="G1068" s="1" t="str">
        <f>"avanddanesh"</f>
        <v>avanddanesh</v>
      </c>
      <c r="J1068" s="1"/>
    </row>
    <row r="1069" spans="1:10" x14ac:dyDescent="0.2">
      <c r="A1069" s="1" t="str">
        <f>"Spin Chemical Physics of Graphene"</f>
        <v>Spin Chemical Physics of Graphene</v>
      </c>
      <c r="B1069" s="1" t="str">
        <f>"9789814774116"</f>
        <v>9789814774116</v>
      </c>
      <c r="C1069" s="1">
        <v>85.5</v>
      </c>
      <c r="D1069" s="1" t="str">
        <f>"GBP"</f>
        <v>GBP</v>
      </c>
      <c r="E1069" s="1" t="str">
        <f>"2018"</f>
        <v>2018</v>
      </c>
      <c r="F1069" s="1" t="str">
        <f>"Sheka"</f>
        <v>Sheka</v>
      </c>
      <c r="G1069" s="1" t="str">
        <f>"sal"</f>
        <v>sal</v>
      </c>
      <c r="J1069" s="1"/>
    </row>
    <row r="1070" spans="1:10" x14ac:dyDescent="0.2">
      <c r="A1070" s="1" t="str">
        <f>"Spin Physics in Semiconductors. 2/ed"</f>
        <v>Spin Physics in Semiconductors. 2/ed</v>
      </c>
      <c r="B1070" s="1" t="str">
        <f>"9783319654355"</f>
        <v>9783319654355</v>
      </c>
      <c r="C1070" s="1">
        <v>152.99</v>
      </c>
      <c r="D1070" s="1" t="str">
        <f>"EUR"</f>
        <v>EUR</v>
      </c>
      <c r="E1070" s="1" t="str">
        <f>"2017"</f>
        <v>2017</v>
      </c>
      <c r="F1070" s="1" t="str">
        <f>"Dyakonov"</f>
        <v>Dyakonov</v>
      </c>
      <c r="G1070" s="1" t="str">
        <f>"negarestanabi"</f>
        <v>negarestanabi</v>
      </c>
      <c r="J1070" s="1"/>
    </row>
    <row r="1071" spans="1:10" x14ac:dyDescent="0.2">
      <c r="A1071" s="1" t="str">
        <f>"Spins in Optically Active Quantum Dots:Concepts and Methods"</f>
        <v>Spins in Optically Active Quantum Dots:Concepts and Methods</v>
      </c>
      <c r="B1071" s="1" t="str">
        <f>"9783527408061"</f>
        <v>9783527408061</v>
      </c>
      <c r="C1071" s="1">
        <v>82.5</v>
      </c>
      <c r="D1071" s="1" t="str">
        <f>"USD"</f>
        <v>USD</v>
      </c>
      <c r="E1071" s="1" t="str">
        <f>"2010"</f>
        <v>2010</v>
      </c>
      <c r="F1071" s="1" t="str">
        <f>"Gywat"</f>
        <v>Gywat</v>
      </c>
      <c r="G1071" s="1" t="str">
        <f>"safirketab"</f>
        <v>safirketab</v>
      </c>
      <c r="J1071" s="1"/>
    </row>
    <row r="1072" spans="1:10" x14ac:dyDescent="0.2">
      <c r="A1072" s="1" t="str">
        <f>"Stability by Linearization of Einstein's Field Equation"</f>
        <v>Stability by Linearization of Einstein's Field Equation</v>
      </c>
      <c r="B1072" s="1" t="str">
        <f>"9783034603034"</f>
        <v>9783034603034</v>
      </c>
      <c r="C1072" s="1">
        <v>98.99</v>
      </c>
      <c r="D1072" s="1" t="str">
        <f>"EUR"</f>
        <v>EUR</v>
      </c>
      <c r="E1072" s="1" t="str">
        <f>"2010"</f>
        <v>2010</v>
      </c>
      <c r="F1072" s="1" t="str">
        <f>"Bruna"</f>
        <v>Bruna</v>
      </c>
      <c r="G1072" s="1" t="str">
        <f>"negarestanabi"</f>
        <v>negarestanabi</v>
      </c>
      <c r="J1072" s="1"/>
    </row>
    <row r="1073" spans="1:10" x14ac:dyDescent="0.2">
      <c r="A1073" s="1" t="str">
        <f>"Star Clusters and Black Holes in Galaxies across Cosmic Time (IAU S312)"</f>
        <v>Star Clusters and Black Holes in Galaxies across Cosmic Time (IAU S312)</v>
      </c>
      <c r="B1073" s="1" t="str">
        <f>"9781107078727"</f>
        <v>9781107078727</v>
      </c>
      <c r="C1073" s="1">
        <v>60</v>
      </c>
      <c r="D1073" s="1" t="str">
        <f>"GBP"</f>
        <v>GBP</v>
      </c>
      <c r="E1073" s="1" t="str">
        <f>"2016"</f>
        <v>2016</v>
      </c>
      <c r="F1073" s="1" t="str">
        <f>"Yohai Meiron , Shuo "</f>
        <v xml:space="preserve">Yohai Meiron , Shuo </v>
      </c>
      <c r="G1073" s="1" t="str">
        <f>"arzinbooks"</f>
        <v>arzinbooks</v>
      </c>
      <c r="J1073" s="1"/>
    </row>
    <row r="1074" spans="1:10" x14ac:dyDescent="0.2">
      <c r="A1074" s="1" t="str">
        <f>"Star Clusters: A Pocket Field Guide"</f>
        <v>Star Clusters: A Pocket Field Guide</v>
      </c>
      <c r="B1074" s="1" t="str">
        <f>"9781441970398"</f>
        <v>9781441970398</v>
      </c>
      <c r="C1074" s="1">
        <v>31.49</v>
      </c>
      <c r="D1074" s="1" t="str">
        <f>"EUR"</f>
        <v>EUR</v>
      </c>
      <c r="E1074" s="1" t="str">
        <f>"2010"</f>
        <v>2010</v>
      </c>
      <c r="F1074" s="1" t="str">
        <f>"Cardona III"</f>
        <v>Cardona III</v>
      </c>
      <c r="G1074" s="1" t="str">
        <f>"negarestanabi"</f>
        <v>negarestanabi</v>
      </c>
      <c r="J1074" s="1"/>
    </row>
    <row r="1075" spans="1:10" x14ac:dyDescent="0.2">
      <c r="A1075" s="1" t="str">
        <f>"STAR FORMATION"</f>
        <v>STAR FORMATION</v>
      </c>
      <c r="B1075" s="1" t="str">
        <f>"9789813142039"</f>
        <v>9789813142039</v>
      </c>
      <c r="C1075" s="1">
        <v>69.3</v>
      </c>
      <c r="D1075" s="1" t="str">
        <f>"GBP"</f>
        <v>GBP</v>
      </c>
      <c r="E1075" s="1" t="str">
        <f>"2017"</f>
        <v>2017</v>
      </c>
      <c r="F1075" s="1" t="str">
        <f>"KRUMHOLZ MARK R"</f>
        <v>KRUMHOLZ MARK R</v>
      </c>
      <c r="G1075" s="1" t="str">
        <f>"AsarBartar"</f>
        <v>AsarBartar</v>
      </c>
      <c r="J1075" s="1"/>
    </row>
    <row r="1076" spans="1:10" x14ac:dyDescent="0.2">
      <c r="A1076" s="1" t="str">
        <f>"Statistical and Thermal Physics"</f>
        <v>Statistical and Thermal Physics</v>
      </c>
      <c r="B1076" s="1" t="str">
        <f>"9788120305854"</f>
        <v>9788120305854</v>
      </c>
      <c r="C1076" s="1">
        <v>6.8</v>
      </c>
      <c r="D1076" s="1" t="str">
        <f>"USD"</f>
        <v>USD</v>
      </c>
      <c r="E1076" s="1" t="str">
        <f>"2016"</f>
        <v>2016</v>
      </c>
      <c r="F1076" s="1" t="str">
        <f>"Lokanathan"</f>
        <v>Lokanathan</v>
      </c>
      <c r="G1076" s="1" t="str">
        <f>"jahanadib"</f>
        <v>jahanadib</v>
      </c>
      <c r="J1076" s="1"/>
    </row>
    <row r="1077" spans="1:10" x14ac:dyDescent="0.2">
      <c r="A1077" s="1" t="str">
        <f>"Statistical and Thermal Physics"</f>
        <v>Statistical and Thermal Physics</v>
      </c>
      <c r="B1077" s="1" t="str">
        <f>"9788120305854"</f>
        <v>9788120305854</v>
      </c>
      <c r="C1077" s="1">
        <v>6.8</v>
      </c>
      <c r="D1077" s="1" t="str">
        <f>"USD"</f>
        <v>USD</v>
      </c>
      <c r="E1077" s="1" t="str">
        <f>"2016"</f>
        <v>2016</v>
      </c>
      <c r="F1077" s="1" t="str">
        <f>"Lokanathan"</f>
        <v>Lokanathan</v>
      </c>
      <c r="G1077" s="1" t="str">
        <f>"safirketab"</f>
        <v>safirketab</v>
      </c>
      <c r="J1077" s="1"/>
    </row>
    <row r="1078" spans="1:10" x14ac:dyDescent="0.2">
      <c r="A1078" s="1" t="str">
        <f>"Statistical Approach in Wall Turbulence"</f>
        <v>Statistical Approach in Wall Turbulence</v>
      </c>
      <c r="B1078" s="1" t="str">
        <f>"9781848212626"</f>
        <v>9781848212626</v>
      </c>
      <c r="C1078" s="1">
        <v>66</v>
      </c>
      <c r="D1078" s="1" t="str">
        <f>"USD"</f>
        <v>USD</v>
      </c>
      <c r="E1078" s="1" t="str">
        <f>"2011"</f>
        <v>2011</v>
      </c>
      <c r="F1078" s="1" t="str">
        <f>"Tardu"</f>
        <v>Tardu</v>
      </c>
      <c r="G1078" s="1" t="str">
        <f>"avanddanesh"</f>
        <v>avanddanesh</v>
      </c>
      <c r="J1078" s="1"/>
    </row>
    <row r="1079" spans="1:10" x14ac:dyDescent="0.2">
      <c r="A1079" s="1" t="str">
        <f>"STATISTICAL FOUNDATIONS OF ENTROPY, THE"</f>
        <v>STATISTICAL FOUNDATIONS OF ENTROPY, THE</v>
      </c>
      <c r="B1079" s="1" t="str">
        <f>"9789813234123"</f>
        <v>9789813234123</v>
      </c>
      <c r="C1079" s="1">
        <v>69.3</v>
      </c>
      <c r="D1079" s="1" t="str">
        <f>"GBP"</f>
        <v>GBP</v>
      </c>
      <c r="E1079" s="1" t="str">
        <f>"2018"</f>
        <v>2018</v>
      </c>
      <c r="F1079" s="1" t="str">
        <f>"RAMSHAW JOHN D"</f>
        <v>RAMSHAW JOHN D</v>
      </c>
      <c r="G1079" s="1" t="str">
        <f>"AsarBartar"</f>
        <v>AsarBartar</v>
      </c>
      <c r="J1079" s="1"/>
    </row>
    <row r="1080" spans="1:10" x14ac:dyDescent="0.2">
      <c r="A1080" s="1" t="str">
        <f>"STATISTICAL MECHANICS AND THE PHYSICS OF MANY-PARTICLE MODEL SYSTEMS"</f>
        <v>STATISTICAL MECHANICS AND THE PHYSICS OF MANY-PARTICLE MODEL SYSTEMS</v>
      </c>
      <c r="B1080" s="1" t="str">
        <f>"9789813145634"</f>
        <v>9789813145634</v>
      </c>
      <c r="C1080" s="1">
        <v>72.900000000000006</v>
      </c>
      <c r="D1080" s="1" t="str">
        <f>"GBP"</f>
        <v>GBP</v>
      </c>
      <c r="E1080" s="1" t="str">
        <f>"2017"</f>
        <v>2017</v>
      </c>
      <c r="F1080" s="1" t="str">
        <f>"KUZEMSKY ALEXANDER"</f>
        <v>KUZEMSKY ALEXANDER</v>
      </c>
      <c r="G1080" s="1" t="str">
        <f>"AsarBartar"</f>
        <v>AsarBartar</v>
      </c>
      <c r="J1080" s="1"/>
    </row>
    <row r="1081" spans="1:10" x14ac:dyDescent="0.2">
      <c r="A1081" s="1" t="str">
        <f>"Statistical Mechanics for Athermal Fluctuation: Non-Gaussian Noise in Physics"</f>
        <v>Statistical Mechanics for Athermal Fluctuation: Non-Gaussian Noise in Physics</v>
      </c>
      <c r="B1081" s="1" t="str">
        <f>"9789811063305"</f>
        <v>9789811063305</v>
      </c>
      <c r="C1081" s="1">
        <v>98.99</v>
      </c>
      <c r="D1081" s="1" t="str">
        <f>"EUR"</f>
        <v>EUR</v>
      </c>
      <c r="E1081" s="1" t="str">
        <f>"2017"</f>
        <v>2017</v>
      </c>
      <c r="F1081" s="1" t="str">
        <f>"Kanazawa"</f>
        <v>Kanazawa</v>
      </c>
      <c r="G1081" s="1" t="str">
        <f>"negarestanabi"</f>
        <v>negarestanabi</v>
      </c>
      <c r="J1081" s="1"/>
    </row>
    <row r="1082" spans="1:10" x14ac:dyDescent="0.2">
      <c r="A1082" s="1" t="str">
        <f>"Statistical Methods for Data Analysis in Particle Physics. 2/ed"</f>
        <v>Statistical Methods for Data Analysis in Particle Physics. 2/ed</v>
      </c>
      <c r="B1082" s="1" t="str">
        <f>"9783319628394"</f>
        <v>9783319628394</v>
      </c>
      <c r="C1082" s="1">
        <v>62.99</v>
      </c>
      <c r="D1082" s="1" t="str">
        <f>"EUR"</f>
        <v>EUR</v>
      </c>
      <c r="E1082" s="1" t="str">
        <f>"2017"</f>
        <v>2017</v>
      </c>
      <c r="F1082" s="1" t="str">
        <f>"Lista"</f>
        <v>Lista</v>
      </c>
      <c r="G1082" s="1" t="str">
        <f>"negarestanabi"</f>
        <v>negarestanabi</v>
      </c>
      <c r="J1082" s="1"/>
    </row>
    <row r="1083" spans="1:10" x14ac:dyDescent="0.2">
      <c r="A1083" s="1" t="str">
        <f>"Statistical Physics of Fracture, Beakdown, and Earthquake: Effects of Disorder and Heterogeneity"</f>
        <v>Statistical Physics of Fracture, Beakdown, and Earthquake: Effects of Disorder and Heterogeneity</v>
      </c>
      <c r="B1083" s="1" t="str">
        <f>"9783527412198"</f>
        <v>9783527412198</v>
      </c>
      <c r="C1083" s="1">
        <v>140</v>
      </c>
      <c r="D1083" s="1" t="str">
        <f>"USD"</f>
        <v>USD</v>
      </c>
      <c r="E1083" s="1" t="str">
        <f>"2015"</f>
        <v>2015</v>
      </c>
      <c r="F1083" s="1" t="str">
        <f>"Biswas"</f>
        <v>Biswas</v>
      </c>
      <c r="G1083" s="1" t="str">
        <f>"avanddanesh"</f>
        <v>avanddanesh</v>
      </c>
      <c r="J1083" s="1"/>
    </row>
    <row r="1084" spans="1:10" x14ac:dyDescent="0.2">
      <c r="A1084" s="1" t="str">
        <f>"Statistical Physics of Non-Thermal Phase Transitions: From Foundations to Applications"</f>
        <v>Statistical Physics of Non-Thermal Phase Transitions: From Foundations to Applications</v>
      </c>
      <c r="B1084" s="1" t="str">
        <f>"9783319124681"</f>
        <v>9783319124681</v>
      </c>
      <c r="C1084" s="1">
        <v>85.49</v>
      </c>
      <c r="D1084" s="1" t="str">
        <f>"EUR"</f>
        <v>EUR</v>
      </c>
      <c r="E1084" s="1" t="str">
        <f>"2015"</f>
        <v>2015</v>
      </c>
      <c r="F1084" s="1" t="str">
        <f>"Abaimov"</f>
        <v>Abaimov</v>
      </c>
      <c r="G1084" s="1" t="str">
        <f>"negarestanabi"</f>
        <v>negarestanabi</v>
      </c>
      <c r="J1084" s="1"/>
    </row>
    <row r="1085" spans="1:10" x14ac:dyDescent="0.2">
      <c r="A1085" s="1" t="str">
        <f>"Statistical Physics: A Prelude and Fugue for Engineers"</f>
        <v>Statistical Physics: A Prelude and Fugue for Engineers</v>
      </c>
      <c r="B1085" s="1" t="str">
        <f>"9783319445366"</f>
        <v>9783319445366</v>
      </c>
      <c r="C1085" s="1">
        <v>62.99</v>
      </c>
      <c r="D1085" s="1" t="str">
        <f>"EUR"</f>
        <v>EUR</v>
      </c>
      <c r="E1085" s="1" t="str">
        <f>"2017"</f>
        <v>2017</v>
      </c>
      <c r="F1085" s="1" t="str">
        <f>"Piazza"</f>
        <v>Piazza</v>
      </c>
      <c r="G1085" s="1" t="str">
        <f>"negarestanabi"</f>
        <v>negarestanabi</v>
      </c>
      <c r="J1085" s="1"/>
    </row>
    <row r="1086" spans="1:10" x14ac:dyDescent="0.2">
      <c r="A1086" s="1" t="str">
        <f>"Statistical Physics: An Entropic Approach"</f>
        <v>Statistical Physics: An Entropic Approach</v>
      </c>
      <c r="B1086" s="1" t="str">
        <f>"9781119975304"</f>
        <v>9781119975304</v>
      </c>
      <c r="C1086" s="1">
        <v>32.5</v>
      </c>
      <c r="D1086" s="1" t="str">
        <f>"USD"</f>
        <v>USD</v>
      </c>
      <c r="E1086" s="1" t="str">
        <f>"2013"</f>
        <v>2013</v>
      </c>
      <c r="F1086" s="1" t="str">
        <f>"Ford"</f>
        <v>Ford</v>
      </c>
      <c r="G1086" s="1" t="str">
        <f>"avanddanesh"</f>
        <v>avanddanesh</v>
      </c>
      <c r="J1086" s="1"/>
    </row>
    <row r="1087" spans="1:10" x14ac:dyDescent="0.2">
      <c r="A1087" s="1" t="str">
        <f>"Statistical Problems In Particle Physics, Astrophysics And Cosmology"</f>
        <v>Statistical Problems In Particle Physics, Astrophysics And Cosmology</v>
      </c>
      <c r="B1087" s="1" t="str">
        <f>"9781860946493"</f>
        <v>9781860946493</v>
      </c>
      <c r="C1087" s="1">
        <v>39.5</v>
      </c>
      <c r="D1087" s="1" t="str">
        <f>"GBP"</f>
        <v>GBP</v>
      </c>
      <c r="E1087" s="1" t="str">
        <f>"2006"</f>
        <v>2006</v>
      </c>
      <c r="F1087" s="1" t="str">
        <f>"Lyons Louis"</f>
        <v>Lyons Louis</v>
      </c>
      <c r="G1087" s="1" t="str">
        <f>"kowkab"</f>
        <v>kowkab</v>
      </c>
      <c r="J1087" s="1"/>
    </row>
    <row r="1088" spans="1:10" x14ac:dyDescent="0.2">
      <c r="A1088" s="1" t="str">
        <f>"Statistical Theory of Heat"</f>
        <v>Statistical Theory of Heat</v>
      </c>
      <c r="B1088" s="1" t="str">
        <f>"9783319400471"</f>
        <v>9783319400471</v>
      </c>
      <c r="C1088" s="1">
        <v>69.290000000000006</v>
      </c>
      <c r="D1088" s="1" t="str">
        <f>"EUR"</f>
        <v>EUR</v>
      </c>
      <c r="E1088" s="1" t="str">
        <f>"2016"</f>
        <v>2016</v>
      </c>
      <c r="F1088" s="1" t="str">
        <f>"Scheck"</f>
        <v>Scheck</v>
      </c>
      <c r="G1088" s="1" t="str">
        <f>"negarestanabi"</f>
        <v>negarestanabi</v>
      </c>
      <c r="J1088" s="1"/>
    </row>
    <row r="1089" spans="1:10" x14ac:dyDescent="0.2">
      <c r="A1089" s="1" t="str">
        <f>"STATISTICAL THERMODYNAMICS FOR BEGINNERS"</f>
        <v>STATISTICAL THERMODYNAMICS FOR BEGINNERS</v>
      </c>
      <c r="B1089" s="1" t="str">
        <f>"9789813149939"</f>
        <v>9789813149939</v>
      </c>
      <c r="C1089" s="1">
        <v>36</v>
      </c>
      <c r="D1089" s="1" t="str">
        <f>"GBP"</f>
        <v>GBP</v>
      </c>
      <c r="E1089" s="1" t="str">
        <f>"2017"</f>
        <v>2017</v>
      </c>
      <c r="F1089" s="1" t="str">
        <f>"STIDHAM HOWARD D"</f>
        <v>STIDHAM HOWARD D</v>
      </c>
      <c r="G1089" s="1" t="str">
        <f>"AsarBartar"</f>
        <v>AsarBartar</v>
      </c>
      <c r="J1089" s="1"/>
    </row>
    <row r="1090" spans="1:10" x14ac:dyDescent="0.2">
      <c r="A1090" s="1" t="str">
        <f>"Statistics and Analysis of Scientific Data. 2/ed"</f>
        <v>Statistics and Analysis of Scientific Data. 2/ed</v>
      </c>
      <c r="B1090" s="1" t="str">
        <f>"9781493965700"</f>
        <v>9781493965700</v>
      </c>
      <c r="C1090" s="1">
        <v>62.99</v>
      </c>
      <c r="D1090" s="1" t="str">
        <f>"EUR"</f>
        <v>EUR</v>
      </c>
      <c r="E1090" s="1" t="str">
        <f>"2017"</f>
        <v>2017</v>
      </c>
      <c r="F1090" s="1" t="str">
        <f>"Bonamente"</f>
        <v>Bonamente</v>
      </c>
      <c r="G1090" s="1" t="str">
        <f>"negarestanabi"</f>
        <v>negarestanabi</v>
      </c>
      <c r="J1090" s="1"/>
    </row>
    <row r="1091" spans="1:10" x14ac:dyDescent="0.2">
      <c r="A1091" s="1" t="str">
        <f>"Steam Generators for Nuclear Power Plants"</f>
        <v>Steam Generators for Nuclear Power Plants</v>
      </c>
      <c r="B1091" s="1" t="str">
        <f>"9780081008874"</f>
        <v>9780081008874</v>
      </c>
      <c r="C1091" s="1">
        <v>193.5</v>
      </c>
      <c r="D1091" s="1" t="str">
        <f>"USD"</f>
        <v>USD</v>
      </c>
      <c r="E1091" s="1" t="str">
        <f>"2017"</f>
        <v>2017</v>
      </c>
      <c r="F1091" s="1" t="str">
        <f>"Riznic"</f>
        <v>Riznic</v>
      </c>
      <c r="G1091" s="1" t="str">
        <f>"dehkadehketab"</f>
        <v>dehkadehketab</v>
      </c>
      <c r="J1091" s="1"/>
    </row>
    <row r="1092" spans="1:10" x14ac:dyDescent="0.2">
      <c r="A1092" s="1" t="str">
        <f>"Stochastic Modeling In Physical and Biological Science"</f>
        <v>Stochastic Modeling In Physical and Biological Science</v>
      </c>
      <c r="B1092" s="1" t="str">
        <f>"9788184875447"</f>
        <v>9788184875447</v>
      </c>
      <c r="C1092" s="1">
        <v>52.47</v>
      </c>
      <c r="D1092" s="1" t="str">
        <f>"GBP"</f>
        <v>GBP</v>
      </c>
      <c r="E1092" s="1" t="str">
        <f>"2016"</f>
        <v>2016</v>
      </c>
      <c r="F1092" s="1" t="str">
        <f>"Choudhury"</f>
        <v>Choudhury</v>
      </c>
      <c r="G1092" s="1" t="str">
        <f>"jahanadib"</f>
        <v>jahanadib</v>
      </c>
      <c r="J1092" s="1"/>
    </row>
    <row r="1093" spans="1:10" x14ac:dyDescent="0.2">
      <c r="A1093" s="1" t="str">
        <f>"STOCHASTIC SIMULATIONS OF CLUSTERS"</f>
        <v>STOCHASTIC SIMULATIONS OF CLUSTERS</v>
      </c>
      <c r="B1093" s="1" t="str">
        <f>"9781420082258"</f>
        <v>9781420082258</v>
      </c>
      <c r="C1093" s="1">
        <v>33.6</v>
      </c>
      <c r="D1093" s="1" t="str">
        <f>"GBP"</f>
        <v>GBP</v>
      </c>
      <c r="E1093" s="1" t="str">
        <f>"2010"</f>
        <v>2010</v>
      </c>
      <c r="F1093" s="1" t="str">
        <f>"CUROTTO, EMANUELE|"</f>
        <v>CUROTTO, EMANUELE|</v>
      </c>
      <c r="G1093" s="1" t="str">
        <f>"AsarBartar"</f>
        <v>AsarBartar</v>
      </c>
      <c r="J1093" s="1"/>
    </row>
    <row r="1094" spans="1:10" x14ac:dyDescent="0.2">
      <c r="A1094" s="1" t="str">
        <f>"Stochasticity in Processes: Fundamentals and Applications to Chemistry and Biology"</f>
        <v>Stochasticity in Processes: Fundamentals and Applications to Chemistry and Biology</v>
      </c>
      <c r="B1094" s="1" t="str">
        <f>"9783319395005"</f>
        <v>9783319395005</v>
      </c>
      <c r="C1094" s="1">
        <v>146.69</v>
      </c>
      <c r="D1094" s="1" t="str">
        <f>"EUR"</f>
        <v>EUR</v>
      </c>
      <c r="E1094" s="1" t="str">
        <f>"2016"</f>
        <v>2016</v>
      </c>
      <c r="F1094" s="1" t="str">
        <f>"Schuster"</f>
        <v>Schuster</v>
      </c>
      <c r="G1094" s="1" t="str">
        <f>"negarestanabi"</f>
        <v>negarestanabi</v>
      </c>
      <c r="J1094" s="1"/>
    </row>
    <row r="1095" spans="1:10" x14ac:dyDescent="0.2">
      <c r="A1095" s="1" t="str">
        <f>"String Theory Methods for Condensed Matter Physics"</f>
        <v>String Theory Methods for Condensed Matter Physics</v>
      </c>
      <c r="B1095" s="1" t="str">
        <f>"9781107180383"</f>
        <v>9781107180383</v>
      </c>
      <c r="C1095" s="1">
        <v>55.3</v>
      </c>
      <c r="D1095" s="1" t="str">
        <f>"GBP"</f>
        <v>GBP</v>
      </c>
      <c r="E1095" s="1" t="str">
        <f>"2017"</f>
        <v>2017</v>
      </c>
      <c r="F1095" s="1" t="str">
        <f>"Nastase"</f>
        <v>Nastase</v>
      </c>
      <c r="G1095" s="1" t="str">
        <f>"arzinbooks"</f>
        <v>arzinbooks</v>
      </c>
      <c r="J1095" s="1"/>
    </row>
    <row r="1096" spans="1:10" x14ac:dyDescent="0.2">
      <c r="A1096" s="1" t="str">
        <f>"STRUCTURAL SENSING, HEALTH MONITORING AND PERFORMANCE E"</f>
        <v>STRUCTURAL SENSING, HEALTH MONITORING AND PERFORMANCE E</v>
      </c>
      <c r="B1096" s="1" t="str">
        <f>"9780750309196"</f>
        <v>9780750309196</v>
      </c>
      <c r="C1096" s="1">
        <v>32.4</v>
      </c>
      <c r="D1096" s="1" t="str">
        <f>"GBP"</f>
        <v>GBP</v>
      </c>
      <c r="E1096" s="1" t="str">
        <f>"2011"</f>
        <v>2011</v>
      </c>
      <c r="F1096" s="1" t="str">
        <f>"D.HUSTON"</f>
        <v>D.HUSTON</v>
      </c>
      <c r="G1096" s="1" t="str">
        <f>"AsarBartar"</f>
        <v>AsarBartar</v>
      </c>
      <c r="J1096" s="1"/>
    </row>
    <row r="1097" spans="1:10" x14ac:dyDescent="0.2">
      <c r="A1097" s="1" t="str">
        <f>"Studying Distant Galaxies: A Handbook of Methods and Analyses"</f>
        <v>Studying Distant Galaxies: A Handbook of Methods and Analyses</v>
      </c>
      <c r="B1097" s="1" t="str">
        <f>"9781786340542"</f>
        <v>9781786340542</v>
      </c>
      <c r="C1097" s="1">
        <v>85</v>
      </c>
      <c r="D1097" s="1" t="str">
        <f>"GBP"</f>
        <v>GBP</v>
      </c>
      <c r="E1097" s="1" t="str">
        <f>"2016"</f>
        <v>2016</v>
      </c>
      <c r="F1097" s="1" t="str">
        <f>"FranÃ§ois Hammer, Ma"</f>
        <v>FranÃ§ois Hammer, Ma</v>
      </c>
      <c r="G1097" s="1" t="str">
        <f>"AsarBartar"</f>
        <v>AsarBartar</v>
      </c>
      <c r="J1097" s="1"/>
    </row>
    <row r="1098" spans="1:10" x14ac:dyDescent="0.2">
      <c r="A1098" s="1" t="str">
        <f>"Sun Above the Horizon: Meteoric Rise of the Solar Industry (Pan Stanford Series on Renewable Energy)"</f>
        <v>Sun Above the Horizon: Meteoric Rise of the Solar Industry (Pan Stanford Series on Renewable Energy)</v>
      </c>
      <c r="B1098" s="1" t="str">
        <f>"9789814463805"</f>
        <v>9789814463805</v>
      </c>
      <c r="C1098" s="1">
        <v>38.4</v>
      </c>
      <c r="D1098" s="1" t="str">
        <f>"GBP"</f>
        <v>GBP</v>
      </c>
      <c r="E1098" s="1" t="str">
        <f>"2014"</f>
        <v>2014</v>
      </c>
      <c r="F1098" s="1" t="str">
        <f>"Peter F. Varadi"</f>
        <v>Peter F. Varadi</v>
      </c>
      <c r="G1098" s="1" t="str">
        <f>"AsarBartar"</f>
        <v>AsarBartar</v>
      </c>
      <c r="J1098" s="1"/>
    </row>
    <row r="1099" spans="1:10" x14ac:dyDescent="0.2">
      <c r="A1099" s="1" t="str">
        <f>"Superconductivity: An Introduction,3e"</f>
        <v>Superconductivity: An Introduction,3e</v>
      </c>
      <c r="B1099" s="1" t="str">
        <f>"9783527411627"</f>
        <v>9783527411627</v>
      </c>
      <c r="C1099" s="1">
        <v>76</v>
      </c>
      <c r="D1099" s="1" t="str">
        <f>"USD"</f>
        <v>USD</v>
      </c>
      <c r="E1099" s="1" t="str">
        <f>"2015"</f>
        <v>2015</v>
      </c>
      <c r="F1099" s="1" t="str">
        <f>"Kleiner"</f>
        <v>Kleiner</v>
      </c>
      <c r="G1099" s="1" t="str">
        <f>"avanddanesh"</f>
        <v>avanddanesh</v>
      </c>
      <c r="J1099" s="1"/>
    </row>
    <row r="1100" spans="1:10" x14ac:dyDescent="0.2">
      <c r="A1100" s="1" t="str">
        <f>"SUPERIONIC CONDUCTORS : Heterostructures And Elements Of Functional Electronics Based On Them, HB"</f>
        <v>SUPERIONIC CONDUCTORS : Heterostructures And Elements Of Functional Electronics Based On Them, HB</v>
      </c>
      <c r="B1100" s="1" t="str">
        <f>"9788130909462"</f>
        <v>9788130909462</v>
      </c>
      <c r="C1100" s="1">
        <v>22.54</v>
      </c>
      <c r="D1100" s="1" t="str">
        <f>"USD"</f>
        <v>USD</v>
      </c>
      <c r="E1100" s="1" t="str">
        <f>"2010"</f>
        <v>2010</v>
      </c>
      <c r="F1100" s="1" t="str">
        <f>"Karamov"</f>
        <v>Karamov</v>
      </c>
      <c r="G1100" s="1" t="str">
        <f>"supply"</f>
        <v>supply</v>
      </c>
      <c r="J1100" s="1"/>
    </row>
    <row r="1101" spans="1:10" x14ac:dyDescent="0.2">
      <c r="A1101" s="1" t="str">
        <f>"Supermathematics and its Applications in Statistical Physics: Grassmann Variables and the Method of Supersymmetry"</f>
        <v>Supermathematics and its Applications in Statistical Physics: Grassmann Variables and the Method of Supersymmetry</v>
      </c>
      <c r="B1101" s="1" t="str">
        <f>"9783662491683"</f>
        <v>9783662491683</v>
      </c>
      <c r="C1101" s="1">
        <v>62.99</v>
      </c>
      <c r="D1101" s="1" t="str">
        <f>"EUR"</f>
        <v>EUR</v>
      </c>
      <c r="E1101" s="1" t="str">
        <f>"2016"</f>
        <v>2016</v>
      </c>
      <c r="F1101" s="1" t="str">
        <f>"Wegner"</f>
        <v>Wegner</v>
      </c>
      <c r="G1101" s="1" t="str">
        <f>"negarestanabi"</f>
        <v>negarestanabi</v>
      </c>
      <c r="J1101" s="1"/>
    </row>
    <row r="1102" spans="1:10" x14ac:dyDescent="0.2">
      <c r="A1102" s="1" t="str">
        <f>"Supersymmetric Grand Unified Theories: From Quarks to Strings via SUSY GUTs"</f>
        <v>Supersymmetric Grand Unified Theories: From Quarks to Strings via SUSY GUTs</v>
      </c>
      <c r="B1102" s="1" t="str">
        <f>"9783319552538"</f>
        <v>9783319552538</v>
      </c>
      <c r="C1102" s="1">
        <v>62.99</v>
      </c>
      <c r="D1102" s="1" t="str">
        <f>"EUR"</f>
        <v>EUR</v>
      </c>
      <c r="E1102" s="1" t="str">
        <f>"2017"</f>
        <v>2017</v>
      </c>
      <c r="F1102" s="1" t="str">
        <f>"Raby"</f>
        <v>Raby</v>
      </c>
      <c r="G1102" s="1" t="str">
        <f>"negarestanabi"</f>
        <v>negarestanabi</v>
      </c>
      <c r="J1102" s="1"/>
    </row>
    <row r="1103" spans="1:10" x14ac:dyDescent="0.2">
      <c r="A1103" s="1" t="str">
        <f>"SUPERSYMMETRIC QUANTUM MECHANICS: AN INTRODUCTION (SECOND EDITION)"</f>
        <v>SUPERSYMMETRIC QUANTUM MECHANICS: AN INTRODUCTION (SECOND EDITION)</v>
      </c>
      <c r="B1103" s="1" t="str">
        <f>"9789813221048"</f>
        <v>9789813221048</v>
      </c>
      <c r="C1103" s="1">
        <v>36</v>
      </c>
      <c r="D1103" s="1" t="str">
        <f>"GBP"</f>
        <v>GBP</v>
      </c>
      <c r="E1103" s="1" t="str">
        <f>"2018"</f>
        <v>2018</v>
      </c>
      <c r="F1103" s="1" t="str">
        <f>"GANGOPADHYAYA ASIM,"</f>
        <v>GANGOPADHYAYA ASIM,</v>
      </c>
      <c r="G1103" s="1" t="str">
        <f>"AsarBartar"</f>
        <v>AsarBartar</v>
      </c>
      <c r="J1103" s="1"/>
    </row>
    <row r="1104" spans="1:10" x14ac:dyDescent="0.2">
      <c r="A1104" s="1" t="str">
        <f>"Supersymmetry and String Theory: Beyond the Standard Model"</f>
        <v>Supersymmetry and String Theory: Beyond the Standard Model</v>
      </c>
      <c r="B1104" s="1" t="str">
        <f>"9781107048386"</f>
        <v>9781107048386</v>
      </c>
      <c r="C1104" s="1">
        <v>45</v>
      </c>
      <c r="D1104" s="1" t="str">
        <f>"GBP"</f>
        <v>GBP</v>
      </c>
      <c r="E1104" s="1" t="str">
        <f>"2016"</f>
        <v>2016</v>
      </c>
      <c r="F1104" s="1" t="str">
        <f>"MICHAEL DINE"</f>
        <v>MICHAEL DINE</v>
      </c>
      <c r="G1104" s="1" t="str">
        <f>"arzinbooks"</f>
        <v>arzinbooks</v>
      </c>
      <c r="J1104" s="1"/>
    </row>
    <row r="1105" spans="1:10" x14ac:dyDescent="0.2">
      <c r="A1105" s="1" t="str">
        <f>"Supersymmetry, Supergravity, and Unification"</f>
        <v>Supersymmetry, Supergravity, and Unification</v>
      </c>
      <c r="B1105" s="1" t="str">
        <f>"9780521197021"</f>
        <v>9780521197021</v>
      </c>
      <c r="C1105" s="1">
        <v>48.8</v>
      </c>
      <c r="D1105" s="1" t="str">
        <f>"GBP"</f>
        <v>GBP</v>
      </c>
      <c r="E1105" s="1" t="str">
        <f>"2017"</f>
        <v>2017</v>
      </c>
      <c r="F1105" s="1" t="str">
        <f>"Pran Nath"</f>
        <v>Pran Nath</v>
      </c>
      <c r="G1105" s="1" t="str">
        <f>"arzinbooks"</f>
        <v>arzinbooks</v>
      </c>
      <c r="J1105" s="1"/>
    </row>
    <row r="1106" spans="1:10" x14ac:dyDescent="0.2">
      <c r="A1106" s="1" t="str">
        <f>"Supplement to Engineering Physics, 2/e"</f>
        <v>Supplement to Engineering Physics, 2/e</v>
      </c>
      <c r="B1106" s="1" t="str">
        <f>"9788120350212"</f>
        <v>9788120350212</v>
      </c>
      <c r="C1106" s="1">
        <v>5.0999999999999996</v>
      </c>
      <c r="D1106" s="1" t="str">
        <f>"USD"</f>
        <v>USD</v>
      </c>
      <c r="E1106" s="1" t="str">
        <f>"2016"</f>
        <v>2016</v>
      </c>
      <c r="F1106" s="1" t="str">
        <f>"Marikani"</f>
        <v>Marikani</v>
      </c>
      <c r="G1106" s="1" t="str">
        <f>"jahanadib"</f>
        <v>jahanadib</v>
      </c>
      <c r="J1106" s="1"/>
    </row>
    <row r="1107" spans="1:10" x14ac:dyDescent="0.2">
      <c r="A1107" s="1" t="str">
        <f>"Supplement to Engineering Physics, 2/e"</f>
        <v>Supplement to Engineering Physics, 2/e</v>
      </c>
      <c r="B1107" s="1" t="str">
        <f>"9788120350212"</f>
        <v>9788120350212</v>
      </c>
      <c r="C1107" s="1">
        <v>5.0999999999999996</v>
      </c>
      <c r="D1107" s="1" t="str">
        <f>"USD"</f>
        <v>USD</v>
      </c>
      <c r="E1107" s="1" t="str">
        <f>"2016"</f>
        <v>2016</v>
      </c>
      <c r="F1107" s="1" t="str">
        <f>"Marikani"</f>
        <v>Marikani</v>
      </c>
      <c r="G1107" s="1" t="str">
        <f>"safirketab"</f>
        <v>safirketab</v>
      </c>
      <c r="J1107" s="1"/>
    </row>
    <row r="1108" spans="1:10" x14ac:dyDescent="0.2">
      <c r="A1108" s="1" t="str">
        <f>"Surface Design:Applications in Bioscience and Nanotechnology"</f>
        <v>Surface Design:Applications in Bioscience and Nanotechnology</v>
      </c>
      <c r="B1108" s="1" t="str">
        <f>"9783527407897"</f>
        <v>9783527407897</v>
      </c>
      <c r="C1108" s="1">
        <v>135</v>
      </c>
      <c r="D1108" s="1" t="str">
        <f>"USD"</f>
        <v>USD</v>
      </c>
      <c r="E1108" s="1" t="str">
        <f>"2009"</f>
        <v>2009</v>
      </c>
      <c r="F1108" s="1" t="str">
        <f>"F?rch"</f>
        <v>F?rch</v>
      </c>
      <c r="G1108" s="1" t="str">
        <f>"safirketab"</f>
        <v>safirketab</v>
      </c>
      <c r="J1108" s="1"/>
    </row>
    <row r="1109" spans="1:10" x14ac:dyDescent="0.2">
      <c r="A1109" s="1" t="str">
        <f>"SURFACE ENGINEERING, HB"</f>
        <v>SURFACE ENGINEERING, HB</v>
      </c>
      <c r="B1109" s="1" t="str">
        <f>"9788170356288"</f>
        <v>9788170356288</v>
      </c>
      <c r="C1109" s="1">
        <v>39.130000000000003</v>
      </c>
      <c r="D1109" s="1" t="str">
        <f>"USD"</f>
        <v>USD</v>
      </c>
      <c r="E1109" s="1" t="str">
        <f>"2010"</f>
        <v>2010</v>
      </c>
      <c r="F1109" s="1" t="str">
        <f>"Srinivasa "</f>
        <v xml:space="preserve">Srinivasa </v>
      </c>
      <c r="G1109" s="1" t="str">
        <f>"supply"</f>
        <v>supply</v>
      </c>
      <c r="J1109" s="1"/>
    </row>
    <row r="1110" spans="1:10" x14ac:dyDescent="0.2">
      <c r="A1110" s="1" t="str">
        <f>"Survival under Uncertainty: An Introduction to Probability Models of Social Structure and Evolution"</f>
        <v>Survival under Uncertainty: An Introduction to Probability Models of Social Structure and Evolution</v>
      </c>
      <c r="B1110" s="1" t="str">
        <f>"9783319394190"</f>
        <v>9783319394190</v>
      </c>
      <c r="C1110" s="1">
        <v>98.99</v>
      </c>
      <c r="D1110" s="1" t="str">
        <f>"EUR"</f>
        <v>EUR</v>
      </c>
      <c r="E1110" s="1" t="str">
        <f>"2016"</f>
        <v>2016</v>
      </c>
      <c r="F1110" s="1" t="str">
        <f>"Volchenkov"</f>
        <v>Volchenkov</v>
      </c>
      <c r="G1110" s="1" t="str">
        <f>"negarestanabi"</f>
        <v>negarestanabi</v>
      </c>
      <c r="J1110" s="1"/>
    </row>
    <row r="1111" spans="1:10" x14ac:dyDescent="0.2">
      <c r="A1111" s="1" t="str">
        <f>"SUSTAINABILITY UNPACKED"</f>
        <v>SUSTAINABILITY UNPACKED</v>
      </c>
      <c r="B1111" s="1" t="str">
        <f>"9781844079018"</f>
        <v>9781844079018</v>
      </c>
      <c r="C1111" s="1">
        <v>10.49</v>
      </c>
      <c r="D1111" s="1" t="str">
        <f>"GBP"</f>
        <v>GBP</v>
      </c>
      <c r="E1111" s="1" t="str">
        <f>"2010"</f>
        <v>2010</v>
      </c>
      <c r="F1111" s="1" t="str">
        <f>"ed; Vogt, K A et al"</f>
        <v>ed; Vogt, K A et al</v>
      </c>
      <c r="G1111" s="1" t="str">
        <f>"AsarBartar"</f>
        <v>AsarBartar</v>
      </c>
      <c r="J1111" s="1"/>
    </row>
    <row r="1112" spans="1:10" x14ac:dyDescent="0.2">
      <c r="A1112" s="1" t="str">
        <f>"Sustainable Bioenergy Production"</f>
        <v>Sustainable Bioenergy Production</v>
      </c>
      <c r="B1112" s="1" t="str">
        <f>"9781466505520"</f>
        <v>9781466505520</v>
      </c>
      <c r="C1112" s="1">
        <v>101.6</v>
      </c>
      <c r="D1112" s="1" t="str">
        <f>"GBP"</f>
        <v>GBP</v>
      </c>
      <c r="E1112" s="1" t="str">
        <f>"2014"</f>
        <v>2014</v>
      </c>
      <c r="F1112" s="1" t="str">
        <f>"Lijun Wang(Editor)"</f>
        <v>Lijun Wang(Editor)</v>
      </c>
      <c r="G1112" s="1" t="str">
        <f>"AsarBartar"</f>
        <v>AsarBartar</v>
      </c>
      <c r="J1112" s="1"/>
    </row>
    <row r="1113" spans="1:10" x14ac:dyDescent="0.2">
      <c r="A1113" s="1" t="str">
        <f>"Sustainable Energy Solutions in Agriculture (Sustainable Energy Developments)"</f>
        <v>Sustainable Energy Solutions in Agriculture (Sustainable Energy Developments)</v>
      </c>
      <c r="B1113" s="1" t="str">
        <f>"9781138001183"</f>
        <v>9781138001183</v>
      </c>
      <c r="C1113" s="1">
        <v>101.6</v>
      </c>
      <c r="D1113" s="1" t="str">
        <f>"GBP"</f>
        <v>GBP</v>
      </c>
      <c r="E1113" s="1" t="str">
        <f>"2014"</f>
        <v>2014</v>
      </c>
      <c r="F1113" s="1" t="str">
        <f>"Guangnan Chen(Edito"</f>
        <v>Guangnan Chen(Edito</v>
      </c>
      <c r="G1113" s="1" t="str">
        <f>"AsarBartar"</f>
        <v>AsarBartar</v>
      </c>
      <c r="J1113" s="1"/>
    </row>
    <row r="1114" spans="1:10" x14ac:dyDescent="0.2">
      <c r="A1114" s="1" t="str">
        <f>"SYMMETRY-ADAPTED BASIS SETS: AUTOMATIC GENERATION FOR PROBLEMS IN CHEMISTRY AND PHYSICS"</f>
        <v>SYMMETRY-ADAPTED BASIS SETS: AUTOMATIC GENERATION FOR PROBLEMS IN CHEMISTRY AND PHYSICS</v>
      </c>
      <c r="B1114" s="1" t="str">
        <f>"9789814350464"</f>
        <v>9789814350464</v>
      </c>
      <c r="C1114" s="1">
        <v>48</v>
      </c>
      <c r="D1114" s="1" t="str">
        <f>"GBP"</f>
        <v>GBP</v>
      </c>
      <c r="E1114" s="1" t="str">
        <f>"2012"</f>
        <v>2012</v>
      </c>
      <c r="F1114" s="1" t="str">
        <f>"AVERY JOHN SCALES E"</f>
        <v>AVERY JOHN SCALES E</v>
      </c>
      <c r="G1114" s="1" t="str">
        <f>"AsarBartar"</f>
        <v>AsarBartar</v>
      </c>
      <c r="J1114" s="1"/>
    </row>
    <row r="1115" spans="1:10" x14ac:dyDescent="0.2">
      <c r="A1115" s="1" t="str">
        <f>"Synchrotron Radiation and Free-Electron Lasers: Principles of Coherent X-Ray GenerationÂ "</f>
        <v>Synchrotron Radiation and Free-Electron Lasers: Principles of Coherent X-Ray GenerationÂ </v>
      </c>
      <c r="B1115" s="1" t="str">
        <f>"9781107162617"</f>
        <v>9781107162617</v>
      </c>
      <c r="C1115" s="1">
        <v>76.5</v>
      </c>
      <c r="D1115" s="1" t="str">
        <f>"GBP"</f>
        <v>GBP</v>
      </c>
      <c r="E1115" s="1" t="str">
        <f>"2017"</f>
        <v>2017</v>
      </c>
      <c r="F1115" s="1" t="str">
        <f>"Kwang-Je Kim , Zhiro"</f>
        <v>Kwang-Je Kim , Zhiro</v>
      </c>
      <c r="G1115" s="1" t="str">
        <f>"arzinbooks"</f>
        <v>arzinbooks</v>
      </c>
      <c r="J1115" s="1"/>
    </row>
    <row r="1116" spans="1:10" x14ac:dyDescent="0.2">
      <c r="A1116" s="1" t="str">
        <f>"Synergetic Agents"</f>
        <v>Synergetic Agents</v>
      </c>
      <c r="B1116" s="1" t="str">
        <f>"9783527411665"</f>
        <v>9783527411665</v>
      </c>
      <c r="C1116" s="1">
        <v>124.2</v>
      </c>
      <c r="D1116" s="1" t="str">
        <f>"USD"</f>
        <v>USD</v>
      </c>
      <c r="E1116" s="1" t="str">
        <f>"2012"</f>
        <v>2012</v>
      </c>
      <c r="F1116" s="1" t="str">
        <f>"Haken"</f>
        <v>Haken</v>
      </c>
      <c r="G1116" s="1" t="str">
        <f>"avanddanesh"</f>
        <v>avanddanesh</v>
      </c>
      <c r="J1116" s="1"/>
    </row>
    <row r="1117" spans="1:10" x14ac:dyDescent="0.2">
      <c r="A1117" s="1" t="str">
        <f>"SYNTHESIS GAS COMBUSTION: FUNDAMENTALS AND APPLICATIONS"</f>
        <v>SYNTHESIS GAS COMBUSTION: FUNDAMENTALS AND APPLICATIONS</v>
      </c>
      <c r="B1117" s="1" t="str">
        <f>"9781420085341"</f>
        <v>9781420085341</v>
      </c>
      <c r="C1117" s="1">
        <v>24.6</v>
      </c>
      <c r="D1117" s="1" t="str">
        <f>"GBP"</f>
        <v>GBP</v>
      </c>
      <c r="E1117" s="1" t="str">
        <f>"2010"</f>
        <v>2010</v>
      </c>
      <c r="F1117" s="1" t="str">
        <f>"RICHARD YETTER(EDIT"</f>
        <v>RICHARD YETTER(EDIT</v>
      </c>
      <c r="G1117" s="1" t="str">
        <f>"AsarBartar"</f>
        <v>AsarBartar</v>
      </c>
      <c r="J1117" s="1"/>
    </row>
    <row r="1118" spans="1:10" x14ac:dyDescent="0.2">
      <c r="A1118" s="1" t="str">
        <f>"Terahertz Science And Technology For Military And Security Applications"</f>
        <v>Terahertz Science And Technology For Military And Security Applications</v>
      </c>
      <c r="B1118" s="1" t="str">
        <f>"9789812771797"</f>
        <v>9789812771797</v>
      </c>
      <c r="C1118" s="1">
        <v>34.29</v>
      </c>
      <c r="D1118" s="1" t="str">
        <f>"USD"</f>
        <v>USD</v>
      </c>
      <c r="E1118" s="1" t="str">
        <f>"2007"</f>
        <v>2007</v>
      </c>
      <c r="F1118" s="1" t="str">
        <f>"Woolard Dwight L Et "</f>
        <v xml:space="preserve">Woolard Dwight L Et </v>
      </c>
      <c r="G1118" s="1" t="str">
        <f>"kowkab"</f>
        <v>kowkab</v>
      </c>
      <c r="J1118" s="1"/>
    </row>
    <row r="1119" spans="1:10" x14ac:dyDescent="0.2">
      <c r="A1119" s="1" t="str">
        <f>"Terrestrial Radiation Effects in ULSI Devices and Electronic Systems"</f>
        <v>Terrestrial Radiation Effects in ULSI Devices and Electronic Systems</v>
      </c>
      <c r="B1119" s="1" t="str">
        <f>"9781118479292"</f>
        <v>9781118479292</v>
      </c>
      <c r="C1119" s="1">
        <v>116</v>
      </c>
      <c r="D1119" s="1" t="str">
        <f>"USD"</f>
        <v>USD</v>
      </c>
      <c r="E1119" s="1" t="str">
        <f>"2015"</f>
        <v>2015</v>
      </c>
      <c r="F1119" s="1" t="str">
        <f>"Ibe"</f>
        <v>Ibe</v>
      </c>
      <c r="G1119" s="1" t="str">
        <f>"avanddanesh"</f>
        <v>avanddanesh</v>
      </c>
      <c r="J1119" s="1"/>
    </row>
    <row r="1120" spans="1:10" x14ac:dyDescent="0.2">
      <c r="A1120" s="1" t="str">
        <f>"TEXTBOOK OF MOLECULAR PHYSICS, HB"</f>
        <v>TEXTBOOK OF MOLECULAR PHYSICS, HB</v>
      </c>
      <c r="B1120" s="1" t="str">
        <f>"9789380472119"</f>
        <v>9789380472119</v>
      </c>
      <c r="C1120" s="1">
        <v>17.36</v>
      </c>
      <c r="D1120" s="1" t="str">
        <f>"USD"</f>
        <v>USD</v>
      </c>
      <c r="E1120" s="1" t="str">
        <f>"2010"</f>
        <v>2010</v>
      </c>
      <c r="F1120" s="1" t="str">
        <f>"Khare"</f>
        <v>Khare</v>
      </c>
      <c r="G1120" s="1" t="str">
        <f>"supply"</f>
        <v>supply</v>
      </c>
      <c r="J1120" s="1"/>
    </row>
    <row r="1121" spans="1:10" x14ac:dyDescent="0.2">
      <c r="A1121" s="1" t="str">
        <f>"Textbook of Physics for Engineers:  Volume I"</f>
        <v>Textbook of Physics for Engineers:  Volume I</v>
      </c>
      <c r="B1121" s="1" t="str">
        <f>"9781842659410"</f>
        <v>9781842659410</v>
      </c>
      <c r="C1121" s="1">
        <v>24.47</v>
      </c>
      <c r="D1121" s="1" t="str">
        <f>"GBP"</f>
        <v>GBP</v>
      </c>
      <c r="E1121" s="1" t="str">
        <f>"2015"</f>
        <v>2015</v>
      </c>
      <c r="F1121" s="1" t="str">
        <f>"Chandra"</f>
        <v>Chandra</v>
      </c>
      <c r="G1121" s="1" t="str">
        <f>"jahanadib"</f>
        <v>jahanadib</v>
      </c>
      <c r="J1121" s="1"/>
    </row>
    <row r="1122" spans="1:10" x14ac:dyDescent="0.2">
      <c r="A1122" s="1" t="str">
        <f>"Textbook of Physics for Engineers:  Volume II"</f>
        <v>Textbook of Physics for Engineers:  Volume II</v>
      </c>
      <c r="B1122" s="1" t="str">
        <f>"9781842659687"</f>
        <v>9781842659687</v>
      </c>
      <c r="C1122" s="1">
        <v>17.47</v>
      </c>
      <c r="D1122" s="1" t="str">
        <f>"GBP"</f>
        <v>GBP</v>
      </c>
      <c r="E1122" s="1" t="str">
        <f>"2015"</f>
        <v>2015</v>
      </c>
      <c r="F1122" s="1" t="str">
        <f>"Chandra"</f>
        <v>Chandra</v>
      </c>
      <c r="G1122" s="1" t="str">
        <f>"jahanadib"</f>
        <v>jahanadib</v>
      </c>
      <c r="J1122" s="1"/>
    </row>
    <row r="1123" spans="1:10" x14ac:dyDescent="0.2">
      <c r="A1123" s="1" t="str">
        <f>"Textbook Of Quantum Mechanics, HB"</f>
        <v>Textbook Of Quantum Mechanics, HB</v>
      </c>
      <c r="B1123" s="1" t="str">
        <f>"9789380472140"</f>
        <v>9789380472140</v>
      </c>
      <c r="C1123" s="1">
        <v>17.36</v>
      </c>
      <c r="D1123" s="1" t="str">
        <f>"USD"</f>
        <v>USD</v>
      </c>
      <c r="E1123" s="1" t="str">
        <f>"2010"</f>
        <v>2010</v>
      </c>
      <c r="F1123" s="1" t="str">
        <f>"Manjrekar"</f>
        <v>Manjrekar</v>
      </c>
      <c r="G1123" s="1" t="str">
        <f>"supply"</f>
        <v>supply</v>
      </c>
      <c r="J1123" s="1"/>
    </row>
    <row r="1124" spans="1:10" x14ac:dyDescent="0.2">
      <c r="A1124" s="1" t="str">
        <f>"The Amateur Astronomer's Guide to the Deep-Sky Catalogs"</f>
        <v>The Amateur Astronomer's Guide to the Deep-Sky Catalogs</v>
      </c>
      <c r="B1124" s="1" t="str">
        <f>"9781461406556"</f>
        <v>9781461406556</v>
      </c>
      <c r="C1124" s="1">
        <v>34.19</v>
      </c>
      <c r="D1124" s="1" t="str">
        <f>"EUR"</f>
        <v>EUR</v>
      </c>
      <c r="E1124" s="1" t="str">
        <f>"2012"</f>
        <v>2012</v>
      </c>
      <c r="F1124" s="1" t="str">
        <f>"Cavin"</f>
        <v>Cavin</v>
      </c>
      <c r="G1124" s="1" t="str">
        <f>"negarestanabi"</f>
        <v>negarestanabi</v>
      </c>
      <c r="J1124" s="1"/>
    </row>
    <row r="1125" spans="1:10" x14ac:dyDescent="0.2">
      <c r="A1125" s="1" t="str">
        <f>"The Anomalous Magnetic Moment of the Muon. 2/ed"</f>
        <v>The Anomalous Magnetic Moment of the Muon. 2/ed</v>
      </c>
      <c r="B1125" s="1" t="str">
        <f>"9783319635750"</f>
        <v>9783319635750</v>
      </c>
      <c r="C1125" s="1">
        <v>112.49</v>
      </c>
      <c r="D1125" s="1" t="str">
        <f>"EUR"</f>
        <v>EUR</v>
      </c>
      <c r="E1125" s="1" t="str">
        <f>"2017"</f>
        <v>2017</v>
      </c>
      <c r="F1125" s="1" t="str">
        <f>"Jegerlehner"</f>
        <v>Jegerlehner</v>
      </c>
      <c r="G1125" s="1" t="str">
        <f>"negarestanabi"</f>
        <v>negarestanabi</v>
      </c>
      <c r="J1125" s="1"/>
    </row>
    <row r="1126" spans="1:10" x14ac:dyDescent="0.2">
      <c r="A1126" s="1" t="str">
        <f>"THE BIOBASED ECONOMY:BIOFUELS, MATERIALS AND CHEMICALS IN THE POST-OIL ERA"</f>
        <v>THE BIOBASED ECONOMY:BIOFUELS, MATERIALS AND CHEMICALS IN THE POST-OIL ERA</v>
      </c>
      <c r="B1126" s="1" t="str">
        <f>"9780415631327"</f>
        <v>9780415631327</v>
      </c>
      <c r="C1126" s="1">
        <v>20.399999999999999</v>
      </c>
      <c r="D1126" s="1" t="str">
        <f>"GBP"</f>
        <v>GBP</v>
      </c>
      <c r="E1126" s="1" t="str">
        <f>"2012"</f>
        <v>2012</v>
      </c>
      <c r="F1126" s="1" t="str">
        <f>"LANGEVELD"</f>
        <v>LANGEVELD</v>
      </c>
      <c r="G1126" s="1" t="str">
        <f>"AsarBartar"</f>
        <v>AsarBartar</v>
      </c>
      <c r="J1126" s="1"/>
    </row>
    <row r="1127" spans="1:10" x14ac:dyDescent="0.2">
      <c r="A1127" s="1" t="str">
        <f>"The Chemical Cosmos: A Guided Tour"</f>
        <v>The Chemical Cosmos: A Guided Tour</v>
      </c>
      <c r="B1127" s="1" t="str">
        <f>"9781441984432"</f>
        <v>9781441984432</v>
      </c>
      <c r="C1127" s="1">
        <v>26.99</v>
      </c>
      <c r="D1127" s="1" t="str">
        <f>"EUR"</f>
        <v>EUR</v>
      </c>
      <c r="E1127" s="1" t="str">
        <f>"2012"</f>
        <v>2012</v>
      </c>
      <c r="F1127" s="1" t="str">
        <f>"Miller"</f>
        <v>Miller</v>
      </c>
      <c r="G1127" s="1" t="str">
        <f>"negarestanabi"</f>
        <v>negarestanabi</v>
      </c>
      <c r="J1127" s="1"/>
    </row>
    <row r="1128" spans="1:10" x14ac:dyDescent="0.2">
      <c r="A1128" s="1" t="str">
        <f>"The Classical And Quantum Dynamics Of The Multispherical Nanostructures"</f>
        <v>The Classical And Quantum Dynamics Of The Multispherical Nanostructures</v>
      </c>
      <c r="B1128" s="1" t="str">
        <f>"9781860944444"</f>
        <v>9781860944444</v>
      </c>
      <c r="C1128" s="1">
        <v>51.44</v>
      </c>
      <c r="D1128" s="1" t="str">
        <f>"USD"</f>
        <v>USD</v>
      </c>
      <c r="E1128" s="1" t="str">
        <f>"2004"</f>
        <v>2004</v>
      </c>
      <c r="F1128" s="1" t="str">
        <f>"Burlak Gennadiy N"</f>
        <v>Burlak Gennadiy N</v>
      </c>
      <c r="G1128" s="1" t="str">
        <f>"kowkab"</f>
        <v>kowkab</v>
      </c>
      <c r="J1128" s="1"/>
    </row>
    <row r="1129" spans="1:10" x14ac:dyDescent="0.2">
      <c r="A1129" s="1" t="str">
        <f>"The Classical Stefan Problem, Basic Concepts, Modelling and Analysis with Quasi-Analytical Solutions and Methods, 2nd Edition"</f>
        <v>The Classical Stefan Problem, Basic Concepts, Modelling and Analysis with Quasi-Analytical Solutions and Methods, 2nd Edition</v>
      </c>
      <c r="B1129" s="1" t="str">
        <f>"9780444635815"</f>
        <v>9780444635815</v>
      </c>
      <c r="C1129" s="1">
        <v>157.5</v>
      </c>
      <c r="D1129" s="1" t="str">
        <f>"USD"</f>
        <v>USD</v>
      </c>
      <c r="E1129" s="1" t="str">
        <f>"2017"</f>
        <v>2017</v>
      </c>
      <c r="F1129" s="1" t="str">
        <f>"Gupta"</f>
        <v>Gupta</v>
      </c>
      <c r="G1129" s="1" t="str">
        <f>"dehkadehketab"</f>
        <v>dehkadehketab</v>
      </c>
      <c r="J1129" s="1"/>
    </row>
    <row r="1130" spans="1:10" x14ac:dyDescent="0.2">
      <c r="A1130" s="1" t="str">
        <f>"The Cosmological Singularity"</f>
        <v>The Cosmological Singularity</v>
      </c>
      <c r="B1130" s="1" t="str">
        <f>"9781107047471"</f>
        <v>9781107047471</v>
      </c>
      <c r="C1130" s="1">
        <v>93.5</v>
      </c>
      <c r="D1130" s="1" t="str">
        <f>"GBP"</f>
        <v>GBP</v>
      </c>
      <c r="E1130" s="1" t="str">
        <f>"2017"</f>
        <v>2017</v>
      </c>
      <c r="F1130" s="1" t="str">
        <f>"Belinski"</f>
        <v>Belinski</v>
      </c>
      <c r="G1130" s="1" t="str">
        <f>"arzinbooks"</f>
        <v>arzinbooks</v>
      </c>
      <c r="J1130" s="1"/>
    </row>
    <row r="1131" spans="1:10" x14ac:dyDescent="0.2">
      <c r="A1131" s="1" t="str">
        <f>"The Design Inference"</f>
        <v>The Design Inference</v>
      </c>
      <c r="B1131" s="1" t="str">
        <f>"9780521678674"</f>
        <v>9780521678674</v>
      </c>
      <c r="C1131" s="1">
        <v>15.42</v>
      </c>
      <c r="D1131" s="1" t="str">
        <f>"USD"</f>
        <v>USD</v>
      </c>
      <c r="E1131" s="1" t="str">
        <f>"2006"</f>
        <v>2006</v>
      </c>
      <c r="F1131" s="1" t="str">
        <f>"William A. Dembski"</f>
        <v>William A. Dembski</v>
      </c>
      <c r="G1131" s="1" t="str">
        <f>"safirketab"</f>
        <v>safirketab</v>
      </c>
      <c r="J1131" s="1"/>
    </row>
    <row r="1132" spans="1:10" x14ac:dyDescent="0.2">
      <c r="A1132" s="1" t="str">
        <f>"The Emerging Quantum: The Physics Behind Quantum Mechanics"</f>
        <v>The Emerging Quantum: The Physics Behind Quantum Mechanics</v>
      </c>
      <c r="B1132" s="1" t="str">
        <f>"9783319078922"</f>
        <v>9783319078922</v>
      </c>
      <c r="C1132" s="1">
        <v>85.49</v>
      </c>
      <c r="D1132" s="1" t="str">
        <f>"EUR"</f>
        <v>EUR</v>
      </c>
      <c r="E1132" s="1" t="str">
        <f>"2015"</f>
        <v>2015</v>
      </c>
      <c r="F1132" s="1" t="str">
        <f>"de la PeÃ±a"</f>
        <v>de la PeÃ±a</v>
      </c>
      <c r="G1132" s="1" t="str">
        <f>"negarestanabi"</f>
        <v>negarestanabi</v>
      </c>
      <c r="J1132" s="1"/>
    </row>
    <row r="1133" spans="1:10" x14ac:dyDescent="0.2">
      <c r="A1133" s="1" t="str">
        <f>"The Energy of Nations: Risk Blindness and the Road to Renaissance"</f>
        <v>The Energy of Nations: Risk Blindness and the Road to Renaissance</v>
      </c>
      <c r="B1133" s="1" t="str">
        <f>"9780415857826"</f>
        <v>9780415857826</v>
      </c>
      <c r="C1133" s="1">
        <v>17.600000000000001</v>
      </c>
      <c r="D1133" s="1" t="str">
        <f t="shared" ref="D1133:D1138" si="29">"GBP"</f>
        <v>GBP</v>
      </c>
      <c r="E1133" s="1" t="str">
        <f>"2014"</f>
        <v>2014</v>
      </c>
      <c r="F1133" s="1" t="str">
        <f>"Jeremy Leggett"</f>
        <v>Jeremy Leggett</v>
      </c>
      <c r="G1133" s="1" t="str">
        <f>"AsarBartar"</f>
        <v>AsarBartar</v>
      </c>
      <c r="J1133" s="1"/>
    </row>
    <row r="1134" spans="1:10" x14ac:dyDescent="0.2">
      <c r="A1134" s="1" t="str">
        <f>"The Formation of the Solar System : Theories Old and New: 2nd Edition"</f>
        <v>The Formation of the Solar System : Theories Old and New: 2nd Edition</v>
      </c>
      <c r="B1134" s="1" t="str">
        <f>"9781783265220"</f>
        <v>9781783265220</v>
      </c>
      <c r="C1134" s="1">
        <v>34.85</v>
      </c>
      <c r="D1134" s="1" t="str">
        <f t="shared" si="29"/>
        <v>GBP</v>
      </c>
      <c r="E1134" s="1" t="str">
        <f>"2015"</f>
        <v>2015</v>
      </c>
      <c r="F1134" s="1" t="str">
        <f>"Michael M Woolfson"</f>
        <v>Michael M Woolfson</v>
      </c>
      <c r="G1134" s="1" t="str">
        <f>"AsarBartar"</f>
        <v>AsarBartar</v>
      </c>
      <c r="J1134" s="1"/>
    </row>
    <row r="1135" spans="1:10" x14ac:dyDescent="0.2">
      <c r="A1135" s="1" t="str">
        <f>"The Fractal Physics of Polymer Synthesis"</f>
        <v>The Fractal Physics of Polymer Synthesis</v>
      </c>
      <c r="B1135" s="1" t="str">
        <f>"9781926895635"</f>
        <v>9781926895635</v>
      </c>
      <c r="C1135" s="1">
        <v>92.8</v>
      </c>
      <c r="D1135" s="1" t="str">
        <f t="shared" si="29"/>
        <v>GBP</v>
      </c>
      <c r="E1135" s="1" t="str">
        <f>"2014"</f>
        <v>2014</v>
      </c>
      <c r="F1135" s="1" t="str">
        <f>"Gennady Efremovich"</f>
        <v>Gennady Efremovich</v>
      </c>
      <c r="G1135" s="1" t="str">
        <f>"AsarBartar"</f>
        <v>AsarBartar</v>
      </c>
      <c r="J1135" s="1"/>
    </row>
    <row r="1136" spans="1:10" x14ac:dyDescent="0.2">
      <c r="A1136" s="1" t="str">
        <f>"The Fundamentals of Radiation Thermometers"</f>
        <v>The Fundamentals of Radiation Thermometers</v>
      </c>
      <c r="B1136" s="1" t="str">
        <f>"9781498778213"</f>
        <v>9781498778213</v>
      </c>
      <c r="C1136" s="1">
        <v>170.55</v>
      </c>
      <c r="D1136" s="1" t="str">
        <f t="shared" si="29"/>
        <v>GBP</v>
      </c>
      <c r="E1136" s="1" t="str">
        <f>"2016"</f>
        <v>2016</v>
      </c>
      <c r="F1136" s="1" t="str">
        <f>"COATES"</f>
        <v>COATES</v>
      </c>
      <c r="G1136" s="1" t="str">
        <f>"sal"</f>
        <v>sal</v>
      </c>
      <c r="J1136" s="1"/>
    </row>
    <row r="1137" spans="1:10" x14ac:dyDescent="0.2">
      <c r="A1137" s="1" t="str">
        <f>"The General Assembly of Galaxy Halos (IAU S317): Structure, Origin and Evolution"</f>
        <v>The General Assembly of Galaxy Halos (IAU S317): Structure, Origin and Evolution</v>
      </c>
      <c r="B1137" s="1" t="str">
        <f>"9781107138193"</f>
        <v>9781107138193</v>
      </c>
      <c r="C1137" s="1">
        <v>60</v>
      </c>
      <c r="D1137" s="1" t="str">
        <f t="shared" si="29"/>
        <v>GBP</v>
      </c>
      <c r="E1137" s="1" t="str">
        <f>"2016"</f>
        <v>2016</v>
      </c>
      <c r="F1137" s="1" t="str">
        <f>"Angela Bragaglia , M"</f>
        <v>Angela Bragaglia , M</v>
      </c>
      <c r="G1137" s="1" t="str">
        <f>"arzinbooks"</f>
        <v>arzinbooks</v>
      </c>
      <c r="J1137" s="1"/>
    </row>
    <row r="1138" spans="1:10" x14ac:dyDescent="0.2">
      <c r="A1138" s="1" t="str">
        <f>"The Grant Writer's Handbook: How to Write a Research Proposal and Succeed"</f>
        <v>The Grant Writer's Handbook: How to Write a Research Proposal and Succeed</v>
      </c>
      <c r="B1138" s="1" t="str">
        <f>"9781783264148"</f>
        <v>9781783264148</v>
      </c>
      <c r="C1138" s="1">
        <v>19.55</v>
      </c>
      <c r="D1138" s="1" t="str">
        <f t="shared" si="29"/>
        <v>GBP</v>
      </c>
      <c r="E1138" s="1" t="str">
        <f>"2016"</f>
        <v>2016</v>
      </c>
      <c r="F1138" s="1" t="str">
        <f>"Gerard M Crawley an"</f>
        <v>Gerard M Crawley an</v>
      </c>
      <c r="G1138" s="1" t="str">
        <f>"AsarBartar"</f>
        <v>AsarBartar</v>
      </c>
      <c r="J1138" s="1"/>
    </row>
    <row r="1139" spans="1:10" x14ac:dyDescent="0.2">
      <c r="A1139" s="1" t="str">
        <f>"The Langevin Equation: With Applications to Stochastic Problems in Physics, Chemistry and Electrical Engineering (World Scientific Series in Contemporary Chemical Physics Vol. 14) - Second Edition"</f>
        <v>The Langevin Equation: With Applications to Stochastic Problems in Physics, Chemistry and Electrical Engineering (World Scientific Series in Contemporary Chemical Physics Vol. 14) - Second Edition</v>
      </c>
      <c r="B1139" s="1" t="str">
        <f>"9789812384621"</f>
        <v>9789812384621</v>
      </c>
      <c r="C1139" s="1">
        <v>77.150000000000006</v>
      </c>
      <c r="D1139" s="1" t="str">
        <f>"USD"</f>
        <v>USD</v>
      </c>
      <c r="E1139" s="1" t="str">
        <f>"2004"</f>
        <v>2004</v>
      </c>
      <c r="F1139" s="1" t="str">
        <f>"Waldron John T"</f>
        <v>Waldron John T</v>
      </c>
      <c r="G1139" s="1" t="str">
        <f>"kowkab"</f>
        <v>kowkab</v>
      </c>
      <c r="J1139" s="1"/>
    </row>
    <row r="1140" spans="1:10" x14ac:dyDescent="0.2">
      <c r="A1140" s="1" t="str">
        <f>"The Lattice Boltzmann Method: Principles and Practice"</f>
        <v>The Lattice Boltzmann Method: Principles and Practice</v>
      </c>
      <c r="B1140" s="1" t="str">
        <f>"9783319446479"</f>
        <v>9783319446479</v>
      </c>
      <c r="C1140" s="1">
        <v>71.989999999999995</v>
      </c>
      <c r="D1140" s="1" t="str">
        <f>"EUR"</f>
        <v>EUR</v>
      </c>
      <c r="E1140" s="1" t="str">
        <f>"2017"</f>
        <v>2017</v>
      </c>
      <c r="F1140" s="1" t="str">
        <f>"KrÃ¼ger"</f>
        <v>KrÃ¼ger</v>
      </c>
      <c r="G1140" s="1" t="str">
        <f>"negarestanabi"</f>
        <v>negarestanabi</v>
      </c>
      <c r="J1140" s="1"/>
    </row>
    <row r="1141" spans="1:10" x14ac:dyDescent="0.2">
      <c r="A1141" s="1" t="str">
        <f>"The Legacy of Nuclear Power"</f>
        <v>The Legacy of Nuclear Power</v>
      </c>
      <c r="B1141" s="1" t="str">
        <f>"9780415869997"</f>
        <v>9780415869997</v>
      </c>
      <c r="C1141" s="1">
        <v>29.75</v>
      </c>
      <c r="D1141" s="1" t="str">
        <f>"GBP"</f>
        <v>GBP</v>
      </c>
      <c r="E1141" s="1" t="str">
        <f>"2016"</f>
        <v>2016</v>
      </c>
      <c r="F1141" s="1" t="str">
        <f>"Andrew Blowers"</f>
        <v>Andrew Blowers</v>
      </c>
      <c r="G1141" s="1" t="str">
        <f>"AsarBartar"</f>
        <v>AsarBartar</v>
      </c>
      <c r="J1141" s="1"/>
    </row>
    <row r="1142" spans="1:10" x14ac:dyDescent="0.2">
      <c r="A1142" s="1" t="str">
        <f>"The Many Faces of Maxwell. Dirac and Einstein Equations: A Clifford Bundle Approach. 2/ed"</f>
        <v>The Many Faces of Maxwell. Dirac and Einstein Equations: A Clifford Bundle Approach. 2/ed</v>
      </c>
      <c r="B1142" s="1" t="str">
        <f>"9783319276366"</f>
        <v>9783319276366</v>
      </c>
      <c r="C1142" s="1">
        <v>80.989999999999995</v>
      </c>
      <c r="D1142" s="1" t="str">
        <f>"EUR"</f>
        <v>EUR</v>
      </c>
      <c r="E1142" s="1" t="str">
        <f>"2016"</f>
        <v>2016</v>
      </c>
      <c r="F1142" s="1" t="str">
        <f>"Rodrigues. Jr"</f>
        <v>Rodrigues. Jr</v>
      </c>
      <c r="G1142" s="1" t="str">
        <f>"negarestanabi"</f>
        <v>negarestanabi</v>
      </c>
      <c r="J1142" s="1"/>
    </row>
    <row r="1143" spans="1:10" x14ac:dyDescent="0.2">
      <c r="A1143" s="1" t="str">
        <f>"The Mathematical Analysis of Electrical and Optical Wave-Motion: On the Basis of Maxwell's EquationsÂ "</f>
        <v>The Mathematical Analysis of Electrical and Optical Wave-Motion: On the Basis of Maxwell's EquationsÂ </v>
      </c>
      <c r="B1143" s="1" t="str">
        <f>"9781316626122"</f>
        <v>9781316626122</v>
      </c>
      <c r="C1143" s="1">
        <v>18.8</v>
      </c>
      <c r="D1143" s="1" t="str">
        <f>"GBP"</f>
        <v>GBP</v>
      </c>
      <c r="E1143" s="1" t="str">
        <f>"2016"</f>
        <v>2016</v>
      </c>
      <c r="F1143" s="1" t="str">
        <f>"H. Bateman"</f>
        <v>H. Bateman</v>
      </c>
      <c r="G1143" s="1" t="str">
        <f>"arzinbooks"</f>
        <v>arzinbooks</v>
      </c>
      <c r="J1143" s="1"/>
    </row>
    <row r="1144" spans="1:10" x14ac:dyDescent="0.2">
      <c r="A1144" s="1" t="str">
        <f>"The Meaning of the Wave Function: In Search of the Ontology of Quantum MechanicsÂ "</f>
        <v>The Meaning of the Wave Function: In Search of the Ontology of Quantum MechanicsÂ </v>
      </c>
      <c r="B1144" s="1" t="str">
        <f>"9781107124356"</f>
        <v>9781107124356</v>
      </c>
      <c r="C1144" s="1">
        <v>76.5</v>
      </c>
      <c r="D1144" s="1" t="str">
        <f>"GBP"</f>
        <v>GBP</v>
      </c>
      <c r="E1144" s="1" t="str">
        <f>"2017"</f>
        <v>2017</v>
      </c>
      <c r="F1144" s="1" t="str">
        <f>"Shan Gao"</f>
        <v>Shan Gao</v>
      </c>
      <c r="G1144" s="1" t="str">
        <f>"arzinbooks"</f>
        <v>arzinbooks</v>
      </c>
      <c r="J1144" s="1"/>
    </row>
    <row r="1145" spans="1:10" x14ac:dyDescent="0.2">
      <c r="A1145" s="1" t="str">
        <f>"The Multifaceted Skyrmion , 2nd Edition"</f>
        <v>The Multifaceted Skyrmion , 2nd Edition</v>
      </c>
      <c r="B1145" s="1" t="str">
        <f>"9789814704403"</f>
        <v>9789814704403</v>
      </c>
      <c r="C1145" s="1">
        <v>118.15</v>
      </c>
      <c r="D1145" s="1" t="str">
        <f>"GBP"</f>
        <v>GBP</v>
      </c>
      <c r="E1145" s="1" t="str">
        <f>"2016"</f>
        <v>2016</v>
      </c>
      <c r="F1145" s="1" t="str">
        <f>"Mannque Rho and Ism"</f>
        <v>Mannque Rho and Ism</v>
      </c>
      <c r="G1145" s="1" t="str">
        <f>"AsarBartar"</f>
        <v>AsarBartar</v>
      </c>
      <c r="J1145" s="1"/>
    </row>
    <row r="1146" spans="1:10" x14ac:dyDescent="0.2">
      <c r="A1146" s="1" t="str">
        <f>"The Nature of Dusty Star-Forming Galaxies"</f>
        <v>The Nature of Dusty Star-Forming Galaxies</v>
      </c>
      <c r="B1146" s="1" t="str">
        <f>"9783319667478"</f>
        <v>9783319667478</v>
      </c>
      <c r="C1146" s="1">
        <v>89.99</v>
      </c>
      <c r="D1146" s="1" t="str">
        <f>"EUR"</f>
        <v>EUR</v>
      </c>
      <c r="E1146" s="1" t="str">
        <f>"2017"</f>
        <v>2017</v>
      </c>
      <c r="F1146" s="1" t="str">
        <f>"Cowley"</f>
        <v>Cowley</v>
      </c>
      <c r="G1146" s="1" t="str">
        <f>"negarestanabi"</f>
        <v>negarestanabi</v>
      </c>
      <c r="J1146" s="1"/>
    </row>
    <row r="1147" spans="1:10" x14ac:dyDescent="0.2">
      <c r="A1147" s="1" t="str">
        <f>"THE PHYSICAL UNIVERSE"</f>
        <v>THE PHYSICAL UNIVERSE</v>
      </c>
      <c r="B1147" s="1" t="str">
        <f>"9781259253850"</f>
        <v>9781259253850</v>
      </c>
      <c r="C1147" s="1">
        <v>85</v>
      </c>
      <c r="D1147" s="1" t="str">
        <f>"USD"</f>
        <v>USD</v>
      </c>
      <c r="E1147" s="1" t="str">
        <f>"2016"</f>
        <v>2016</v>
      </c>
      <c r="F1147" s="1" t="str">
        <f>"KRAUSKOPF"</f>
        <v>KRAUSKOPF</v>
      </c>
      <c r="G1147" s="1" t="str">
        <f>"safirketab"</f>
        <v>safirketab</v>
      </c>
      <c r="J1147" s="1"/>
    </row>
    <row r="1148" spans="1:10" x14ac:dyDescent="0.2">
      <c r="A1148" s="1" t="str">
        <f>"The Physics of Energy"</f>
        <v>The Physics of Energy</v>
      </c>
      <c r="B1148" s="1" t="str">
        <f>"9781107016651"</f>
        <v>9781107016651</v>
      </c>
      <c r="C1148" s="1">
        <v>51</v>
      </c>
      <c r="D1148" s="1" t="str">
        <f>"GBP"</f>
        <v>GBP</v>
      </c>
      <c r="E1148" s="1" t="str">
        <f>"2018"</f>
        <v>2018</v>
      </c>
      <c r="F1148" s="1" t="str">
        <f>"Jaffe"</f>
        <v>Jaffe</v>
      </c>
      <c r="G1148" s="1" t="str">
        <f>"arzinbooks"</f>
        <v>arzinbooks</v>
      </c>
      <c r="J1148" s="1"/>
    </row>
    <row r="1149" spans="1:10" x14ac:dyDescent="0.2">
      <c r="A1149" s="1" t="str">
        <f>"The Physics of the Manhattan Project. 3/ed"</f>
        <v>The Physics of the Manhattan Project. 3/ed</v>
      </c>
      <c r="B1149" s="1" t="str">
        <f>"9783662435328"</f>
        <v>9783662435328</v>
      </c>
      <c r="C1149" s="1">
        <v>53.99</v>
      </c>
      <c r="D1149" s="1" t="str">
        <f>"EUR"</f>
        <v>EUR</v>
      </c>
      <c r="E1149" s="1" t="str">
        <f>"2015"</f>
        <v>2015</v>
      </c>
      <c r="F1149" s="1" t="str">
        <f>"Reed"</f>
        <v>Reed</v>
      </c>
      <c r="G1149" s="1" t="str">
        <f>"negarestanabi"</f>
        <v>negarestanabi</v>
      </c>
      <c r="J1149" s="1"/>
    </row>
    <row r="1150" spans="1:10" x14ac:dyDescent="0.2">
      <c r="A1150" s="1" t="str">
        <f>"The Problem of Time: Quantum Mechanics Versus General Relativity"</f>
        <v>The Problem of Time: Quantum Mechanics Versus General Relativity</v>
      </c>
      <c r="B1150" s="1" t="str">
        <f>"9783319588469"</f>
        <v>9783319588469</v>
      </c>
      <c r="C1150" s="1">
        <v>112.49</v>
      </c>
      <c r="D1150" s="1" t="str">
        <f>"EUR"</f>
        <v>EUR</v>
      </c>
      <c r="E1150" s="1" t="str">
        <f>"2017"</f>
        <v>2017</v>
      </c>
      <c r="F1150" s="1" t="str">
        <f>"Anderson"</f>
        <v>Anderson</v>
      </c>
      <c r="G1150" s="1" t="str">
        <f>"negarestanabi"</f>
        <v>negarestanabi</v>
      </c>
      <c r="J1150" s="1"/>
    </row>
    <row r="1151" spans="1:10" x14ac:dyDescent="0.2">
      <c r="A1151" s="1" t="str">
        <f>"The Rebound Effect in Home Heating: A guide for policymakers and practitioners (Building Research and Information)"</f>
        <v>The Rebound Effect in Home Heating: A guide for policymakers and practitioners (Building Research and Information)</v>
      </c>
      <c r="B1151" s="1" t="str">
        <f>"9781138788350"</f>
        <v>9781138788350</v>
      </c>
      <c r="C1151" s="1">
        <v>29.75</v>
      </c>
      <c r="D1151" s="1" t="str">
        <f>"GBP"</f>
        <v>GBP</v>
      </c>
      <c r="E1151" s="1" t="str">
        <f>"2016"</f>
        <v>2016</v>
      </c>
      <c r="F1151" s="1" t="str">
        <f>"Ray Galvin"</f>
        <v>Ray Galvin</v>
      </c>
      <c r="G1151" s="1" t="str">
        <f>"AsarBartar"</f>
        <v>AsarBartar</v>
      </c>
      <c r="J1151" s="1"/>
    </row>
    <row r="1152" spans="1:10" x14ac:dyDescent="0.2">
      <c r="A1152" s="1" t="str">
        <f>"The Rise and Fall of the Fifth Force: Discovery. Pursuit. and Justification in Modern Physics . 2/ed"</f>
        <v>The Rise and Fall of the Fifth Force: Discovery. Pursuit. and Justification in Modern Physics . 2/ed</v>
      </c>
      <c r="B1152" s="1" t="str">
        <f>"9783319284118"</f>
        <v>9783319284118</v>
      </c>
      <c r="C1152" s="1">
        <v>76.489999999999995</v>
      </c>
      <c r="D1152" s="1" t="str">
        <f>"EUR"</f>
        <v>EUR</v>
      </c>
      <c r="E1152" s="1" t="str">
        <f>"2016"</f>
        <v>2016</v>
      </c>
      <c r="F1152" s="1" t="str">
        <f>"Franklin"</f>
        <v>Franklin</v>
      </c>
      <c r="G1152" s="1" t="str">
        <f>"negarestanabi"</f>
        <v>negarestanabi</v>
      </c>
      <c r="J1152" s="1"/>
    </row>
    <row r="1153" spans="1:10" x14ac:dyDescent="0.2">
      <c r="A1153" s="1" t="str">
        <f>"The Rocket into Planetary Space"</f>
        <v>The Rocket into Planetary Space</v>
      </c>
      <c r="B1153" s="1" t="str">
        <f>"9783486754636"</f>
        <v>9783486754636</v>
      </c>
      <c r="C1153" s="1">
        <v>112</v>
      </c>
      <c r="D1153" s="1" t="str">
        <f>"EUR"</f>
        <v>EUR</v>
      </c>
      <c r="E1153" s="1" t="str">
        <f>"2014"</f>
        <v>2014</v>
      </c>
      <c r="F1153" s="1" t="str">
        <f>"Hermann Oberth"</f>
        <v>Hermann Oberth</v>
      </c>
      <c r="G1153" s="1" t="str">
        <f>"AsarBartar"</f>
        <v>AsarBartar</v>
      </c>
      <c r="J1153" s="1"/>
    </row>
    <row r="1154" spans="1:10" x14ac:dyDescent="0.2">
      <c r="A1154" s="1" t="str">
        <f>"The Science of Ethanol"</f>
        <v>The Science of Ethanol</v>
      </c>
      <c r="B1154" s="1" t="str">
        <f>"9781498726153"</f>
        <v>9781498726153</v>
      </c>
      <c r="C1154" s="1">
        <v>73.8</v>
      </c>
      <c r="D1154" s="1" t="str">
        <f>"GBP"</f>
        <v>GBP</v>
      </c>
      <c r="E1154" s="1" t="str">
        <f>"2017"</f>
        <v>2017</v>
      </c>
      <c r="F1154" s="1" t="str">
        <f>"Walter E. Goldstein"</f>
        <v>Walter E. Goldstein</v>
      </c>
      <c r="G1154" s="1" t="str">
        <f>"AsarBartar"</f>
        <v>AsarBartar</v>
      </c>
      <c r="J1154" s="1"/>
    </row>
    <row r="1155" spans="1:10" x14ac:dyDescent="0.2">
      <c r="A1155" s="1" t="str">
        <f>"The Structure and Evolution of the Sun"</f>
        <v>The Structure and Evolution of the Sun</v>
      </c>
      <c r="B1155" s="1" t="str">
        <f>"9783319649603"</f>
        <v>9783319649603</v>
      </c>
      <c r="C1155" s="1">
        <v>40.49</v>
      </c>
      <c r="D1155" s="1" t="str">
        <f>"EUR"</f>
        <v>EUR</v>
      </c>
      <c r="E1155" s="1" t="str">
        <f>"2017"</f>
        <v>2017</v>
      </c>
      <c r="F1155" s="1" t="str">
        <f>"Severino"</f>
        <v>Severino</v>
      </c>
      <c r="G1155" s="1" t="str">
        <f>"negarestanabi"</f>
        <v>negarestanabi</v>
      </c>
      <c r="J1155" s="1"/>
    </row>
    <row r="1156" spans="1:10" x14ac:dyDescent="0.2">
      <c r="A1156" s="1" t="str">
        <f>"The Theory and Applications of Instanton Calculations"</f>
        <v>The Theory and Applications of Instanton Calculations</v>
      </c>
      <c r="B1156" s="1" t="str">
        <f>"9781107155473"</f>
        <v>9781107155473</v>
      </c>
      <c r="C1156" s="1">
        <v>93.5</v>
      </c>
      <c r="D1156" s="1" t="str">
        <f>"GBP"</f>
        <v>GBP</v>
      </c>
      <c r="E1156" s="1" t="str">
        <f>"2018"</f>
        <v>2018</v>
      </c>
      <c r="F1156" s="1" t="str">
        <f>"Paranjape"</f>
        <v>Paranjape</v>
      </c>
      <c r="G1156" s="1" t="str">
        <f>"arzinbooks"</f>
        <v>arzinbooks</v>
      </c>
      <c r="J1156" s="1"/>
    </row>
    <row r="1157" spans="1:10" x14ac:dyDescent="0.2">
      <c r="A1157" s="1" t="str">
        <f>"The Theory of Laser Materials Processing: Heat and Mass Transfer in Modern Technology. 2/ed"</f>
        <v>The Theory of Laser Materials Processing: Heat and Mass Transfer in Modern Technology. 2/ed</v>
      </c>
      <c r="B1157" s="1" t="str">
        <f>"9783319567105"</f>
        <v>9783319567105</v>
      </c>
      <c r="C1157" s="1">
        <v>152.99</v>
      </c>
      <c r="D1157" s="1" t="str">
        <f>"EUR"</f>
        <v>EUR</v>
      </c>
      <c r="E1157" s="1" t="str">
        <f>"2017"</f>
        <v>2017</v>
      </c>
      <c r="F1157" s="1" t="str">
        <f>"Dowden"</f>
        <v>Dowden</v>
      </c>
      <c r="G1157" s="1" t="str">
        <f>"negarestanabi"</f>
        <v>negarestanabi</v>
      </c>
      <c r="J1157" s="1"/>
    </row>
    <row r="1158" spans="1:10" x14ac:dyDescent="0.2">
      <c r="A1158" s="1" t="str">
        <f>"The U.S. Government and Renewable Energy: A Winding Road (Pan Stanford Series on Renewable Energy)"</f>
        <v>The U.S. Government and Renewable Energy: A Winding Road (Pan Stanford Series on Renewable Energy)</v>
      </c>
      <c r="B1158" s="1" t="str">
        <f>"9789814745840"</f>
        <v>9789814745840</v>
      </c>
      <c r="C1158" s="1">
        <v>27.2</v>
      </c>
      <c r="D1158" s="1" t="str">
        <f>"GBP"</f>
        <v>GBP</v>
      </c>
      <c r="E1158" s="1" t="str">
        <f>"2016"</f>
        <v>2016</v>
      </c>
      <c r="F1158" s="1" t="str">
        <f>"Allan Hoffman"</f>
        <v>Allan Hoffman</v>
      </c>
      <c r="G1158" s="1" t="str">
        <f>"AsarBartar"</f>
        <v>AsarBartar</v>
      </c>
      <c r="J1158" s="1"/>
    </row>
    <row r="1159" spans="1:10" x14ac:dyDescent="0.2">
      <c r="A1159" s="1" t="str">
        <f>"The Universal Coefficient Theorem and Quantum Field Theory: A Topological Guide for the Duality Seeker"</f>
        <v>The Universal Coefficient Theorem and Quantum Field Theory: A Topological Guide for the Duality Seeker</v>
      </c>
      <c r="B1159" s="1" t="str">
        <f>"9783319461427"</f>
        <v>9783319461427</v>
      </c>
      <c r="C1159" s="1">
        <v>98.99</v>
      </c>
      <c r="D1159" s="1" t="str">
        <f>"EUR"</f>
        <v>EUR</v>
      </c>
      <c r="E1159" s="1" t="str">
        <f>"2017"</f>
        <v>2017</v>
      </c>
      <c r="F1159" s="1" t="str">
        <f>"Patrascu"</f>
        <v>Patrascu</v>
      </c>
      <c r="G1159" s="1" t="str">
        <f>"negarestanabi"</f>
        <v>negarestanabi</v>
      </c>
      <c r="J1159" s="1"/>
    </row>
    <row r="1160" spans="1:10" x14ac:dyDescent="0.2">
      <c r="A1160" s="1" t="str">
        <f>"Theoretical and Applied Aerodynamics: and Related Numerical Methods"</f>
        <v>Theoretical and Applied Aerodynamics: and Related Numerical Methods</v>
      </c>
      <c r="B1160" s="1" t="str">
        <f>"9789401798242"</f>
        <v>9789401798242</v>
      </c>
      <c r="C1160" s="1">
        <v>80.989999999999995</v>
      </c>
      <c r="D1160" s="1" t="str">
        <f>"EUR"</f>
        <v>EUR</v>
      </c>
      <c r="E1160" s="1" t="str">
        <f>"2015"</f>
        <v>2015</v>
      </c>
      <c r="F1160" s="1" t="str">
        <f>"Chattot"</f>
        <v>Chattot</v>
      </c>
      <c r="G1160" s="1" t="str">
        <f>"negarestanabi"</f>
        <v>negarestanabi</v>
      </c>
      <c r="J1160" s="1"/>
    </row>
    <row r="1161" spans="1:10" x14ac:dyDescent="0.2">
      <c r="A1161" s="1" t="str">
        <f>"Theoretical Astrophysics: An Introduction"</f>
        <v>Theoretical Astrophysics: An Introduction</v>
      </c>
      <c r="B1161" s="1" t="str">
        <f>"9783527410040"</f>
        <v>9783527410040</v>
      </c>
      <c r="C1161" s="1">
        <v>68.400000000000006</v>
      </c>
      <c r="D1161" s="1" t="str">
        <f>"USD"</f>
        <v>USD</v>
      </c>
      <c r="E1161" s="1" t="str">
        <f>"2012"</f>
        <v>2012</v>
      </c>
      <c r="F1161" s="1" t="str">
        <f>"Bartelmann"</f>
        <v>Bartelmann</v>
      </c>
      <c r="G1161" s="1" t="str">
        <f>"avanddanesh"</f>
        <v>avanddanesh</v>
      </c>
      <c r="J1161" s="1"/>
    </row>
    <row r="1162" spans="1:10" x14ac:dyDescent="0.2">
      <c r="A1162" s="1" t="str">
        <f>"Theoretical Atomic Physics. 4/ed"</f>
        <v>Theoretical Atomic Physics. 4/ed</v>
      </c>
      <c r="B1162" s="1" t="str">
        <f>"9783319477671"</f>
        <v>9783319477671</v>
      </c>
      <c r="C1162" s="1">
        <v>89.99</v>
      </c>
      <c r="D1162" s="1" t="str">
        <f>"EUR"</f>
        <v>EUR</v>
      </c>
      <c r="E1162" s="1" t="str">
        <f>"2017"</f>
        <v>2017</v>
      </c>
      <c r="F1162" s="1" t="str">
        <f>"Friedrich"</f>
        <v>Friedrich</v>
      </c>
      <c r="G1162" s="1" t="str">
        <f>"negarestanabi"</f>
        <v>negarestanabi</v>
      </c>
      <c r="J1162" s="1"/>
    </row>
    <row r="1163" spans="1:10" x14ac:dyDescent="0.2">
      <c r="A1163" s="1" t="str">
        <f>"Theoretical Modeling of Organohalide Perovskites for Photovoltaic Applications"</f>
        <v>Theoretical Modeling of Organohalide Perovskites for Photovoltaic Applications</v>
      </c>
      <c r="B1163" s="1" t="str">
        <f>"9781498750783"</f>
        <v>9781498750783</v>
      </c>
      <c r="C1163" s="1">
        <v>94.5</v>
      </c>
      <c r="D1163" s="1" t="str">
        <f>"GBP"</f>
        <v>GBP</v>
      </c>
      <c r="E1163" s="1" t="str">
        <f>"2017"</f>
        <v>2017</v>
      </c>
      <c r="F1163" s="1" t="str">
        <f>"Giorgi"</f>
        <v>Giorgi</v>
      </c>
      <c r="G1163" s="1" t="str">
        <f>"sal"</f>
        <v>sal</v>
      </c>
      <c r="J1163" s="1"/>
    </row>
    <row r="1164" spans="1:10" x14ac:dyDescent="0.2">
      <c r="A1164" s="1" t="str">
        <f>"Theoretical Optics: An Introduction,2e"</f>
        <v>Theoretical Optics: An Introduction,2e</v>
      </c>
      <c r="B1164" s="1" t="str">
        <f>"9783527407767"</f>
        <v>9783527407767</v>
      </c>
      <c r="C1164" s="1">
        <v>98</v>
      </c>
      <c r="D1164" s="1" t="str">
        <f>"USD"</f>
        <v>USD</v>
      </c>
      <c r="E1164" s="1" t="str">
        <f>"2009"</f>
        <v>2009</v>
      </c>
      <c r="F1164" s="1" t="str">
        <f>"R?mer"</f>
        <v>R?mer</v>
      </c>
      <c r="G1164" s="1" t="str">
        <f>"avanddanesh"</f>
        <v>avanddanesh</v>
      </c>
      <c r="J1164" s="1"/>
    </row>
    <row r="1165" spans="1:10" x14ac:dyDescent="0.2">
      <c r="A1165" s="1" t="str">
        <f>"Theoretical Physics 1: Classical Mechanics"</f>
        <v>Theoretical Physics 1: Classical Mechanics</v>
      </c>
      <c r="B1165" s="1" t="str">
        <f>"9783319401072"</f>
        <v>9783319401072</v>
      </c>
      <c r="C1165" s="1">
        <v>80.989999999999995</v>
      </c>
      <c r="D1165" s="1" t="str">
        <f t="shared" ref="D1165:D1170" si="30">"EUR"</f>
        <v>EUR</v>
      </c>
      <c r="E1165" s="1" t="str">
        <f>"2016"</f>
        <v>2016</v>
      </c>
      <c r="F1165" s="1" t="str">
        <f>"Nolting"</f>
        <v>Nolting</v>
      </c>
      <c r="G1165" s="1" t="str">
        <f t="shared" ref="G1165:G1170" si="31">"negarestanabi"</f>
        <v>negarestanabi</v>
      </c>
      <c r="J1165" s="1"/>
    </row>
    <row r="1166" spans="1:10" x14ac:dyDescent="0.2">
      <c r="A1166" s="1" t="str">
        <f>"Theoretical Physics 2: Analytical Mechanics"</f>
        <v>Theoretical Physics 2: Analytical Mechanics</v>
      </c>
      <c r="B1166" s="1" t="str">
        <f>"9783319401287"</f>
        <v>9783319401287</v>
      </c>
      <c r="C1166" s="1">
        <v>67.489999999999995</v>
      </c>
      <c r="D1166" s="1" t="str">
        <f t="shared" si="30"/>
        <v>EUR</v>
      </c>
      <c r="E1166" s="1" t="str">
        <f>"2016"</f>
        <v>2016</v>
      </c>
      <c r="F1166" s="1" t="str">
        <f>"Nolting"</f>
        <v>Nolting</v>
      </c>
      <c r="G1166" s="1" t="str">
        <f t="shared" si="31"/>
        <v>negarestanabi</v>
      </c>
      <c r="J1166" s="1"/>
    </row>
    <row r="1167" spans="1:10" x14ac:dyDescent="0.2">
      <c r="A1167" s="1" t="str">
        <f>"Theoretical Physics 5: Thermodynamics"</f>
        <v>Theoretical Physics 5: Thermodynamics</v>
      </c>
      <c r="B1167" s="1" t="str">
        <f>"9783319479095"</f>
        <v>9783319479095</v>
      </c>
      <c r="C1167" s="1">
        <v>58.49</v>
      </c>
      <c r="D1167" s="1" t="str">
        <f t="shared" si="30"/>
        <v>EUR</v>
      </c>
      <c r="E1167" s="1" t="str">
        <f>"2017"</f>
        <v>2017</v>
      </c>
      <c r="F1167" s="1" t="str">
        <f>"Nolting"</f>
        <v>Nolting</v>
      </c>
      <c r="G1167" s="1" t="str">
        <f t="shared" si="31"/>
        <v>negarestanabi</v>
      </c>
      <c r="J1167" s="1"/>
    </row>
    <row r="1168" spans="1:10" x14ac:dyDescent="0.2">
      <c r="A1168" s="1" t="str">
        <f>"Theoretical Physics 6: Quantum Mechanics - Basics"</f>
        <v>Theoretical Physics 6: Quantum Mechanics - Basics</v>
      </c>
      <c r="B1168" s="1" t="str">
        <f>"9783319543857"</f>
        <v>9783319543857</v>
      </c>
      <c r="C1168" s="1">
        <v>71.989999999999995</v>
      </c>
      <c r="D1168" s="1" t="str">
        <f t="shared" si="30"/>
        <v>EUR</v>
      </c>
      <c r="E1168" s="1" t="str">
        <f>"2017"</f>
        <v>2017</v>
      </c>
      <c r="F1168" s="1" t="str">
        <f>"Nolting"</f>
        <v>Nolting</v>
      </c>
      <c r="G1168" s="1" t="str">
        <f t="shared" si="31"/>
        <v>negarestanabi</v>
      </c>
      <c r="J1168" s="1"/>
    </row>
    <row r="1169" spans="1:10" x14ac:dyDescent="0.2">
      <c r="A1169" s="1" t="str">
        <f>"Theoretical Physics 7: Quantum Mechanics - Methods and Applications"</f>
        <v>Theoretical Physics 7: Quantum Mechanics - Methods and Applications</v>
      </c>
      <c r="B1169" s="1" t="str">
        <f>"9783319633237"</f>
        <v>9783319633237</v>
      </c>
      <c r="C1169" s="1">
        <v>49.49</v>
      </c>
      <c r="D1169" s="1" t="str">
        <f t="shared" si="30"/>
        <v>EUR</v>
      </c>
      <c r="E1169" s="1" t="str">
        <f>"2017"</f>
        <v>2017</v>
      </c>
      <c r="F1169" s="1" t="str">
        <f>"Nolting"</f>
        <v>Nolting</v>
      </c>
      <c r="G1169" s="1" t="str">
        <f t="shared" si="31"/>
        <v>negarestanabi</v>
      </c>
      <c r="J1169" s="1"/>
    </row>
    <row r="1170" spans="1:10" x14ac:dyDescent="0.2">
      <c r="A1170" s="1" t="str">
        <f>"Theoretical Study on Correlation Effects in Topological Matter"</f>
        <v>Theoretical Study on Correlation Effects in Topological Matter</v>
      </c>
      <c r="B1170" s="1" t="str">
        <f>"9789811037429"</f>
        <v>9789811037429</v>
      </c>
      <c r="C1170" s="1">
        <v>89.99</v>
      </c>
      <c r="D1170" s="1" t="str">
        <f t="shared" si="30"/>
        <v>EUR</v>
      </c>
      <c r="E1170" s="1" t="str">
        <f>"2017"</f>
        <v>2017</v>
      </c>
      <c r="F1170" s="1" t="str">
        <f>"Isobe"</f>
        <v>Isobe</v>
      </c>
      <c r="G1170" s="1" t="str">
        <f t="shared" si="31"/>
        <v>negarestanabi</v>
      </c>
      <c r="J1170" s="1"/>
    </row>
    <row r="1171" spans="1:10" x14ac:dyDescent="0.2">
      <c r="A1171" s="1" t="str">
        <f>"THEORY OF FRACTIONAL DYNAMIC SYSTEMS, HB"</f>
        <v>THEORY OF FRACTIONAL DYNAMIC SYSTEMS, HB</v>
      </c>
      <c r="B1171" s="1" t="str">
        <f>"9781846192036"</f>
        <v>9781846192036</v>
      </c>
      <c r="C1171" s="1">
        <v>31.5</v>
      </c>
      <c r="D1171" s="1" t="str">
        <f>"GBP"</f>
        <v>GBP</v>
      </c>
      <c r="E1171" s="1" t="str">
        <f>"2009"</f>
        <v>2009</v>
      </c>
      <c r="F1171" s="1" t="str">
        <f>"Lakshmikantham "</f>
        <v xml:space="preserve">Lakshmikantham </v>
      </c>
      <c r="G1171" s="1" t="str">
        <f>"supply"</f>
        <v>supply</v>
      </c>
      <c r="J1171" s="1"/>
    </row>
    <row r="1172" spans="1:10" x14ac:dyDescent="0.2">
      <c r="A1172" s="1" t="str">
        <f>"Theory of Gravitational Interactions. 2/ed"</f>
        <v>Theory of Gravitational Interactions. 2/ed</v>
      </c>
      <c r="B1172" s="1" t="str">
        <f>"9783319496818"</f>
        <v>9783319496818</v>
      </c>
      <c r="C1172" s="1">
        <v>51.29</v>
      </c>
      <c r="D1172" s="1" t="str">
        <f>"EUR"</f>
        <v>EUR</v>
      </c>
      <c r="E1172" s="1" t="str">
        <f>"2017"</f>
        <v>2017</v>
      </c>
      <c r="F1172" s="1" t="str">
        <f>"Gasperini"</f>
        <v>Gasperini</v>
      </c>
      <c r="G1172" s="1" t="str">
        <f>"negarestanabi"</f>
        <v>negarestanabi</v>
      </c>
      <c r="J1172" s="1"/>
    </row>
    <row r="1173" spans="1:10" x14ac:dyDescent="0.2">
      <c r="A1173" s="1" t="str">
        <f>"THEORY OF HIGH TEMPERATURE SUPERCONDUCTIVITY: A CONVENTIONAL APPROACH"</f>
        <v>THEORY OF HIGH TEMPERATURE SUPERCONDUCTIVITY: A CONVENTIONAL APPROACH</v>
      </c>
      <c r="B1173" s="1" t="str">
        <f>"9789814343145"</f>
        <v>9789814343145</v>
      </c>
      <c r="C1173" s="1">
        <v>18.600000000000001</v>
      </c>
      <c r="D1173" s="1" t="str">
        <f>"GBP"</f>
        <v>GBP</v>
      </c>
      <c r="E1173" s="1" t="str">
        <f>"2011"</f>
        <v>2011</v>
      </c>
      <c r="F1173" s="1" t="str">
        <f>"EVGENI S. PENEV"</f>
        <v>EVGENI S. PENEV</v>
      </c>
      <c r="G1173" s="1" t="str">
        <f>"AsarBartar"</f>
        <v>AsarBartar</v>
      </c>
      <c r="J1173" s="1"/>
    </row>
    <row r="1174" spans="1:10" x14ac:dyDescent="0.2">
      <c r="A1174" s="1" t="str">
        <f>"Theory of Low-Temperature Plasma Physics"</f>
        <v>Theory of Low-Temperature Plasma Physics</v>
      </c>
      <c r="B1174" s="1" t="str">
        <f>"9783319437194"</f>
        <v>9783319437194</v>
      </c>
      <c r="C1174" s="1">
        <v>134.99</v>
      </c>
      <c r="D1174" s="1" t="str">
        <f>"EUR"</f>
        <v>EUR</v>
      </c>
      <c r="E1174" s="1" t="str">
        <f>"2017"</f>
        <v>2017</v>
      </c>
      <c r="F1174" s="1" t="str">
        <f>"Nguyen-Kuok"</f>
        <v>Nguyen-Kuok</v>
      </c>
      <c r="G1174" s="1" t="str">
        <f>"negarestanabi"</f>
        <v>negarestanabi</v>
      </c>
      <c r="J1174" s="1"/>
    </row>
    <row r="1175" spans="1:10" x14ac:dyDescent="0.2">
      <c r="A1175" s="1" t="str">
        <f>"Theory of Reflection: Reflection and Transmission of Electromagnetic. Particle and Acoustic Waves. 2/ed"</f>
        <v>Theory of Reflection: Reflection and Transmission of Electromagnetic. Particle and Acoustic Waves. 2/ed</v>
      </c>
      <c r="B1175" s="1" t="str">
        <f>"9783319236261"</f>
        <v>9783319236261</v>
      </c>
      <c r="C1175" s="1">
        <v>116.99</v>
      </c>
      <c r="D1175" s="1" t="str">
        <f>"EUR"</f>
        <v>EUR</v>
      </c>
      <c r="E1175" s="1" t="str">
        <f>"2016"</f>
        <v>2016</v>
      </c>
      <c r="F1175" s="1" t="str">
        <f>"Lekner"</f>
        <v>Lekner</v>
      </c>
      <c r="G1175" s="1" t="str">
        <f>"negarestanabi"</f>
        <v>negarestanabi</v>
      </c>
      <c r="J1175" s="1"/>
    </row>
    <row r="1176" spans="1:10" x14ac:dyDescent="0.2">
      <c r="A1176" s="1" t="str">
        <f>"THEORY OF THE QUANTUM WORLD, THE - PROCEEDINGS OF THE 25TH SOLVAY CONFERENCE ON PHYSICS"</f>
        <v>THEORY OF THE QUANTUM WORLD, THE - PROCEEDINGS OF THE 25TH SOLVAY CONFERENCE ON PHYSICS</v>
      </c>
      <c r="B1176" s="1" t="str">
        <f>"9789814440615"</f>
        <v>9789814440615</v>
      </c>
      <c r="C1176" s="1">
        <v>43.8</v>
      </c>
      <c r="D1176" s="1" t="str">
        <f>"GBP"</f>
        <v>GBP</v>
      </c>
      <c r="E1176" s="1" t="str">
        <f>"2013"</f>
        <v>2013</v>
      </c>
      <c r="F1176" s="1" t="str">
        <f>"GROSS DAVID ET AL"</f>
        <v>GROSS DAVID ET AL</v>
      </c>
      <c r="G1176" s="1" t="str">
        <f>"AsarBartar"</f>
        <v>AsarBartar</v>
      </c>
      <c r="J1176" s="1"/>
    </row>
    <row r="1177" spans="1:10" x14ac:dyDescent="0.2">
      <c r="A1177" s="1" t="str">
        <f>"Thermal Physics: Kinetic Theory and Thermodynamics"</f>
        <v>Thermal Physics: Kinetic Theory and Thermodynamics</v>
      </c>
      <c r="B1177" s="1" t="str">
        <f>"9781842659731"</f>
        <v>9781842659731</v>
      </c>
      <c r="C1177" s="1">
        <v>31.47</v>
      </c>
      <c r="D1177" s="1" t="str">
        <f>"GBP"</f>
        <v>GBP</v>
      </c>
      <c r="E1177" s="1" t="str">
        <f>"2016"</f>
        <v>2016</v>
      </c>
      <c r="F1177" s="1" t="str">
        <f>"Singh"</f>
        <v>Singh</v>
      </c>
      <c r="G1177" s="1" t="str">
        <f>"jahanadib"</f>
        <v>jahanadib</v>
      </c>
      <c r="J1177" s="1"/>
    </row>
    <row r="1178" spans="1:10" x14ac:dyDescent="0.2">
      <c r="A1178" s="1" t="str">
        <f>"Thermal Power Plants: Modeling, Control, and Efficiency Improvement"</f>
        <v>Thermal Power Plants: Modeling, Control, and Efficiency Improvement</v>
      </c>
      <c r="B1178" s="1" t="str">
        <f>"9781498708227"</f>
        <v>9781498708227</v>
      </c>
      <c r="C1178" s="1">
        <v>107.73</v>
      </c>
      <c r="D1178" s="1" t="str">
        <f>"GBP"</f>
        <v>GBP</v>
      </c>
      <c r="E1178" s="1" t="str">
        <f>"2016"</f>
        <v>2016</v>
      </c>
      <c r="F1178" s="1" t="str">
        <f>"LIU"</f>
        <v>LIU</v>
      </c>
      <c r="G1178" s="1" t="str">
        <f>"sal"</f>
        <v>sal</v>
      </c>
      <c r="J1178" s="1"/>
    </row>
    <row r="1179" spans="1:10" x14ac:dyDescent="0.2">
      <c r="A1179" s="1" t="str">
        <f>"Thermal Power Plants: Modeling, Control, and Efficiency Improvement"</f>
        <v>Thermal Power Plants: Modeling, Control, and Efficiency Improvement</v>
      </c>
      <c r="B1179" s="1" t="str">
        <f>"9781498708227"</f>
        <v>9781498708227</v>
      </c>
      <c r="C1179" s="1">
        <v>84.15</v>
      </c>
      <c r="D1179" s="1" t="str">
        <f>"GBP"</f>
        <v>GBP</v>
      </c>
      <c r="E1179" s="1" t="str">
        <f>"2016"</f>
        <v>2016</v>
      </c>
      <c r="F1179" s="1" t="str">
        <f>"Xingrang Liu,Ramesh"</f>
        <v>Xingrang Liu,Ramesh</v>
      </c>
      <c r="G1179" s="1" t="str">
        <f>"AsarBartar"</f>
        <v>AsarBartar</v>
      </c>
      <c r="J1179" s="1"/>
    </row>
    <row r="1180" spans="1:10" x14ac:dyDescent="0.2">
      <c r="A1180" s="1" t="str">
        <f>"Thermally and Optically Stimulated Luminescence: A Simulation Approach"</f>
        <v>Thermally and Optically Stimulated Luminescence: A Simulation Approach</v>
      </c>
      <c r="B1180" s="1" t="str">
        <f>"9780470749272"</f>
        <v>9780470749272</v>
      </c>
      <c r="C1180" s="1">
        <v>54</v>
      </c>
      <c r="D1180" s="1" t="str">
        <f>"USD"</f>
        <v>USD</v>
      </c>
      <c r="E1180" s="1" t="str">
        <f>"2011"</f>
        <v>2011</v>
      </c>
      <c r="F1180" s="1" t="str">
        <f>"Chen"</f>
        <v>Chen</v>
      </c>
      <c r="G1180" s="1" t="str">
        <f>"avanddanesh"</f>
        <v>avanddanesh</v>
      </c>
      <c r="J1180" s="1"/>
    </row>
    <row r="1181" spans="1:10" x14ac:dyDescent="0.2">
      <c r="A1181" s="1" t="str">
        <f>"Thermoacoustics: A Unifying Perspective for Some Engines and Refrigerators. 2/ed"</f>
        <v>Thermoacoustics: A Unifying Perspective for Some Engines and Refrigerators. 2/ed</v>
      </c>
      <c r="B1181" s="1" t="str">
        <f>"9783319669328"</f>
        <v>9783319669328</v>
      </c>
      <c r="C1181" s="1">
        <v>71.989999999999995</v>
      </c>
      <c r="D1181" s="1" t="str">
        <f>"EUR"</f>
        <v>EUR</v>
      </c>
      <c r="E1181" s="1" t="str">
        <f>"2017"</f>
        <v>2017</v>
      </c>
      <c r="F1181" s="1" t="str">
        <f>"Swift"</f>
        <v>Swift</v>
      </c>
      <c r="G1181" s="1" t="str">
        <f>"negarestanabi"</f>
        <v>negarestanabi</v>
      </c>
      <c r="J1181" s="1"/>
    </row>
    <row r="1182" spans="1:10" x14ac:dyDescent="0.2">
      <c r="A1182" s="1" t="str">
        <f>"Thermodynamic Properties of Cryogenic Fluids. 2/ed"</f>
        <v>Thermodynamic Properties of Cryogenic Fluids. 2/ed</v>
      </c>
      <c r="B1182" s="1" t="str">
        <f>"9783319578330"</f>
        <v>9783319578330</v>
      </c>
      <c r="C1182" s="1">
        <v>107.99</v>
      </c>
      <c r="D1182" s="1" t="str">
        <f>"EUR"</f>
        <v>EUR</v>
      </c>
      <c r="E1182" s="1" t="str">
        <f>"2017"</f>
        <v>2017</v>
      </c>
      <c r="F1182" s="1" t="str">
        <f>"Leachman"</f>
        <v>Leachman</v>
      </c>
      <c r="G1182" s="1" t="str">
        <f>"negarestanabi"</f>
        <v>negarestanabi</v>
      </c>
      <c r="J1182" s="1"/>
    </row>
    <row r="1183" spans="1:10" x14ac:dyDescent="0.2">
      <c r="A1183" s="1" t="str">
        <f>"THERMODYNAMICS AND HEAT ENGINES, HB"</f>
        <v>THERMODYNAMICS AND HEAT ENGINES, HB</v>
      </c>
      <c r="B1183" s="1" t="str">
        <f>"9788126146093"</f>
        <v>9788126146093</v>
      </c>
      <c r="C1183" s="1">
        <v>19.670000000000002</v>
      </c>
      <c r="D1183" s="1" t="str">
        <f>"USD"</f>
        <v>USD</v>
      </c>
      <c r="E1183" s="1" t="str">
        <f>"2010"</f>
        <v>2010</v>
      </c>
      <c r="F1183" s="1" t="str">
        <f>"Saxena"</f>
        <v>Saxena</v>
      </c>
      <c r="G1183" s="1" t="str">
        <f>"supply"</f>
        <v>supply</v>
      </c>
      <c r="J1183" s="1"/>
    </row>
    <row r="1184" spans="1:10" x14ac:dyDescent="0.2">
      <c r="A1184" s="1" t="str">
        <f>"THERMODYNAMICS OF SURFACE PHENOMENA, HB"</f>
        <v>THERMODYNAMICS OF SURFACE PHENOMENA, HB</v>
      </c>
      <c r="B1184" s="1" t="str">
        <f>"9781904602774"</f>
        <v>9781904602774</v>
      </c>
      <c r="C1184" s="1">
        <v>112</v>
      </c>
      <c r="D1184" s="1" t="str">
        <f>"USD"</f>
        <v>USD</v>
      </c>
      <c r="E1184" s="1" t="str">
        <f>"2008"</f>
        <v>2008</v>
      </c>
      <c r="F1184" s="1" t="str">
        <f>"Dadashev"</f>
        <v>Dadashev</v>
      </c>
      <c r="G1184" s="1" t="str">
        <f>"supply"</f>
        <v>supply</v>
      </c>
      <c r="J1184" s="1"/>
    </row>
    <row r="1185" spans="1:10" x14ac:dyDescent="0.2">
      <c r="A1185" s="1" t="str">
        <f>"Thermoelastic Models of Continua"</f>
        <v>Thermoelastic Models of Continua</v>
      </c>
      <c r="B1185" s="1" t="str">
        <f>"9781402023095"</f>
        <v>9781402023095</v>
      </c>
      <c r="C1185" s="1">
        <v>79.42</v>
      </c>
      <c r="D1185" s="1" t="str">
        <f>"USD"</f>
        <v>USD</v>
      </c>
      <c r="E1185" s="1" t="str">
        <f>"2004"</f>
        <v>2004</v>
      </c>
      <c r="F1185" s="1" t="str">
        <f>"Iesan,D."</f>
        <v>Iesan,D.</v>
      </c>
      <c r="G1185" s="1" t="str">
        <f>"safirketab"</f>
        <v>safirketab</v>
      </c>
      <c r="J1185" s="1"/>
    </row>
    <row r="1186" spans="1:10" x14ac:dyDescent="0.2">
      <c r="A1186" s="1" t="str">
        <f>"Thermoplasmonics : Heating Metal Nanoparticles Using Light"</f>
        <v>Thermoplasmonics : Heating Metal Nanoparticles Using Light</v>
      </c>
      <c r="B1186" s="1" t="str">
        <f>"9781108418324"</f>
        <v>9781108418324</v>
      </c>
      <c r="C1186" s="1">
        <v>46.8</v>
      </c>
      <c r="D1186" s="1" t="str">
        <f>"GBP"</f>
        <v>GBP</v>
      </c>
      <c r="E1186" s="1" t="str">
        <f>"2017"</f>
        <v>2017</v>
      </c>
      <c r="F1186" s="1" t="str">
        <f>"Baffou"</f>
        <v>Baffou</v>
      </c>
      <c r="G1186" s="1" t="str">
        <f>"arzinbooks"</f>
        <v>arzinbooks</v>
      </c>
      <c r="J1186" s="1"/>
    </row>
    <row r="1187" spans="1:10" x14ac:dyDescent="0.2">
      <c r="A1187" s="1" t="str">
        <f>"Time and Matter: Proceedings of the International Colloquium on the Science of Time Venice, Italy 11-17 August 2002"</f>
        <v>Time and Matter: Proceedings of the International Colloquium on the Science of Time Venice, Italy 11-17 August 2002</v>
      </c>
      <c r="B1187" s="1" t="str">
        <f>"9789812566348"</f>
        <v>9789812566348</v>
      </c>
      <c r="C1187" s="1">
        <v>52.09</v>
      </c>
      <c r="D1187" s="1" t="str">
        <f>"USD"</f>
        <v>USD</v>
      </c>
      <c r="E1187" s="1" t="str">
        <f>"2006"</f>
        <v>2006</v>
      </c>
      <c r="F1187" s="1" t="str">
        <f>"Bigi Ikaros I Et Al"</f>
        <v>Bigi Ikaros I Et Al</v>
      </c>
      <c r="G1187" s="1" t="str">
        <f>"kowkab"</f>
        <v>kowkab</v>
      </c>
      <c r="J1187" s="1"/>
    </row>
    <row r="1188" spans="1:10" x14ac:dyDescent="0.2">
      <c r="A1188" s="1" t="str">
        <f>"TOPICS ON THE NONLINEAR DYNAMICS AND ACOUSTICS OF ORDERED GRANULAR MEDIA"</f>
        <v>TOPICS ON THE NONLINEAR DYNAMICS AND ACOUSTICS OF ORDERED GRANULAR MEDIA</v>
      </c>
      <c r="B1188" s="1" t="str">
        <f>"9789813221932"</f>
        <v>9789813221932</v>
      </c>
      <c r="C1188" s="1">
        <v>140.4</v>
      </c>
      <c r="D1188" s="1" t="str">
        <f>"GBP"</f>
        <v>GBP</v>
      </c>
      <c r="E1188" s="1" t="str">
        <f>"2017"</f>
        <v>2017</v>
      </c>
      <c r="F1188" s="1" t="str">
        <f>"VAKAKIS ALEXANDER F"</f>
        <v>VAKAKIS ALEXANDER F</v>
      </c>
      <c r="G1188" s="1" t="str">
        <f>"AsarBartar"</f>
        <v>AsarBartar</v>
      </c>
      <c r="J1188" s="1"/>
    </row>
    <row r="1189" spans="1:10" x14ac:dyDescent="0.2">
      <c r="A1189" s="1" t="str">
        <f>"Topological Insulators: Dirac Equation in Condensed Matter. 2/ed"</f>
        <v>Topological Insulators: Dirac Equation in Condensed Matter. 2/ed</v>
      </c>
      <c r="B1189" s="1" t="str">
        <f>"9789811046056"</f>
        <v>9789811046056</v>
      </c>
      <c r="C1189" s="1">
        <v>98.99</v>
      </c>
      <c r="D1189" s="1" t="str">
        <f>"EUR"</f>
        <v>EUR</v>
      </c>
      <c r="E1189" s="1" t="str">
        <f>"2017"</f>
        <v>2017</v>
      </c>
      <c r="F1189" s="1" t="str">
        <f>"Shen"</f>
        <v>Shen</v>
      </c>
      <c r="G1189" s="1" t="str">
        <f>"negarestanabi"</f>
        <v>negarestanabi</v>
      </c>
      <c r="J1189" s="1"/>
    </row>
    <row r="1190" spans="1:10" x14ac:dyDescent="0.2">
      <c r="A1190" s="1" t="str">
        <f>"Topological Insulators: Fundamentals and Perspectives"</f>
        <v>Topological Insulators: Fundamentals and Perspectives</v>
      </c>
      <c r="B1190" s="1" t="str">
        <f>"9783527337026"</f>
        <v>9783527337026</v>
      </c>
      <c r="C1190" s="1">
        <v>164</v>
      </c>
      <c r="D1190" s="1" t="str">
        <f>"USD"</f>
        <v>USD</v>
      </c>
      <c r="E1190" s="1" t="str">
        <f>"2015"</f>
        <v>2015</v>
      </c>
      <c r="F1190" s="1" t="str">
        <f>"Ortmann"</f>
        <v>Ortmann</v>
      </c>
      <c r="G1190" s="1" t="str">
        <f>"avanddanesh"</f>
        <v>avanddanesh</v>
      </c>
      <c r="J1190" s="1"/>
    </row>
    <row r="1191" spans="1:10" x14ac:dyDescent="0.2">
      <c r="A1191" s="1" t="str">
        <f>"Topological Interactions in Ring Polymers"</f>
        <v>Topological Interactions in Ring Polymers</v>
      </c>
      <c r="B1191" s="1" t="str">
        <f>"9783319410418"</f>
        <v>9783319410418</v>
      </c>
      <c r="C1191" s="1">
        <v>89.99</v>
      </c>
      <c r="D1191" s="1" t="str">
        <f>"EUR"</f>
        <v>EUR</v>
      </c>
      <c r="E1191" s="1" t="str">
        <f>"2016"</f>
        <v>2016</v>
      </c>
      <c r="F1191" s="1" t="str">
        <f>"Michieletto"</f>
        <v>Michieletto</v>
      </c>
      <c r="G1191" s="1" t="str">
        <f>"negarestanabi"</f>
        <v>negarestanabi</v>
      </c>
      <c r="J1191" s="1"/>
    </row>
    <row r="1192" spans="1:10" x14ac:dyDescent="0.2">
      <c r="A1192" s="1" t="str">
        <f>"Topology of Chaos: Alice in Stretch and Squeezeland"</f>
        <v>Topology of Chaos: Alice in Stretch and Squeezeland</v>
      </c>
      <c r="B1192" s="1" t="str">
        <f>"9783527410675"</f>
        <v>9783527410675</v>
      </c>
      <c r="C1192" s="1">
        <v>56.8</v>
      </c>
      <c r="D1192" s="1" t="str">
        <f>"USD"</f>
        <v>USD</v>
      </c>
      <c r="E1192" s="1" t="str">
        <f>"2011"</f>
        <v>2011</v>
      </c>
      <c r="F1192" s="1" t="str">
        <f>"Gilmore"</f>
        <v>Gilmore</v>
      </c>
      <c r="G1192" s="1" t="str">
        <f>"avanddanesh"</f>
        <v>avanddanesh</v>
      </c>
      <c r="J1192" s="1"/>
    </row>
    <row r="1193" spans="1:10" x14ac:dyDescent="0.2">
      <c r="A1193" s="1" t="str">
        <f>"Toward a New Dimension: Exploring the Nanoscale"</f>
        <v>Toward a New Dimension: Exploring the Nanoscale</v>
      </c>
      <c r="B1193" s="1" t="str">
        <f>"9780198714613"</f>
        <v>9780198714613</v>
      </c>
      <c r="C1193" s="1">
        <v>17.5</v>
      </c>
      <c r="D1193" s="1" t="str">
        <f>"GBP"</f>
        <v>GBP</v>
      </c>
      <c r="E1193" s="1" t="str">
        <f>"2014"</f>
        <v>2014</v>
      </c>
      <c r="F1193" s="1" t="str">
        <f>"Anne Marcovich"</f>
        <v>Anne Marcovich</v>
      </c>
      <c r="G1193" s="1" t="str">
        <f>"arzinbooks"</f>
        <v>arzinbooks</v>
      </c>
      <c r="J1193" s="1"/>
    </row>
    <row r="1194" spans="1:10" x14ac:dyDescent="0.2">
      <c r="A1194" s="1" t="str">
        <f>"Transducers and Arrays for Underwater Sound. 2/ed"</f>
        <v>Transducers and Arrays for Underwater Sound. 2/ed</v>
      </c>
      <c r="B1194" s="1" t="str">
        <f>"9783319390420"</f>
        <v>9783319390420</v>
      </c>
      <c r="C1194" s="1">
        <v>98.99</v>
      </c>
      <c r="D1194" s="1" t="str">
        <f>"EUR"</f>
        <v>EUR</v>
      </c>
      <c r="E1194" s="1" t="str">
        <f>"2016"</f>
        <v>2016</v>
      </c>
      <c r="F1194" s="1" t="str">
        <f>"Butler"</f>
        <v>Butler</v>
      </c>
      <c r="G1194" s="1" t="str">
        <f>"negarestanabi"</f>
        <v>negarestanabi</v>
      </c>
      <c r="J1194" s="1"/>
    </row>
    <row r="1195" spans="1:10" x14ac:dyDescent="0.2">
      <c r="A1195" s="1" t="str">
        <f>"Transitions in Molecular Systems"</f>
        <v>Transitions in Molecular Systems</v>
      </c>
      <c r="B1195" s="1" t="str">
        <f>"9783527410132"</f>
        <v>9783527410132</v>
      </c>
      <c r="C1195" s="1">
        <v>70.400000000000006</v>
      </c>
      <c r="D1195" s="1" t="str">
        <f>"USD"</f>
        <v>USD</v>
      </c>
      <c r="E1195" s="1" t="str">
        <f>"2010"</f>
        <v>2010</v>
      </c>
      <c r="F1195" s="1" t="str">
        <f>"Kupka"</f>
        <v>Kupka</v>
      </c>
      <c r="G1195" s="1" t="str">
        <f>"safirketab"</f>
        <v>safirketab</v>
      </c>
      <c r="J1195" s="1"/>
    </row>
    <row r="1196" spans="1:10" x14ac:dyDescent="0.2">
      <c r="A1196" s="1" t="str">
        <f>"Transitions in Molecular Systems"</f>
        <v>Transitions in Molecular Systems</v>
      </c>
      <c r="B1196" s="1" t="str">
        <f>"9783527410132"</f>
        <v>9783527410132</v>
      </c>
      <c r="C1196" s="1">
        <v>70.400000000000006</v>
      </c>
      <c r="D1196" s="1" t="str">
        <f>"USD"</f>
        <v>USD</v>
      </c>
      <c r="E1196" s="1" t="str">
        <f>"2010"</f>
        <v>2010</v>
      </c>
      <c r="F1196" s="1" t="str">
        <f>"Kupka"</f>
        <v>Kupka</v>
      </c>
      <c r="G1196" s="1" t="str">
        <f>"avanddanesh"</f>
        <v>avanddanesh</v>
      </c>
      <c r="J1196" s="1"/>
    </row>
    <row r="1197" spans="1:10" x14ac:dyDescent="0.2">
      <c r="A1197" s="1" t="str">
        <f>"Transport and NMR Studies of Charge Glass in Organic Conductors with Quasi-triangular Lattices   "</f>
        <v xml:space="preserve">Transport and NMR Studies of Charge Glass in Organic Conductors with Quasi-triangular Lattices   </v>
      </c>
      <c r="B1197" s="1" t="str">
        <f>"9789811058783"</f>
        <v>9789811058783</v>
      </c>
      <c r="C1197" s="1">
        <v>98.99</v>
      </c>
      <c r="D1197" s="1" t="str">
        <f>"EUR"</f>
        <v>EUR</v>
      </c>
      <c r="E1197" s="1" t="str">
        <f>"2017"</f>
        <v>2017</v>
      </c>
      <c r="F1197" s="1" t="str">
        <f>"Sato"</f>
        <v>Sato</v>
      </c>
      <c r="G1197" s="1" t="str">
        <f>"negarestanabi"</f>
        <v>negarestanabi</v>
      </c>
      <c r="J1197" s="1"/>
    </row>
    <row r="1198" spans="1:10" x14ac:dyDescent="0.2">
      <c r="A1198" s="1" t="str">
        <f>"Transport of Energetic Electrons in Solids: Computer Simulation with Applications to Materials Analysis and Characterization. 2/ed"</f>
        <v>Transport of Energetic Electrons in Solids: Computer Simulation with Applications to Materials Analysis and Characterization. 2/ed</v>
      </c>
      <c r="B1198" s="1" t="str">
        <f>"9783319474908"</f>
        <v>9783319474908</v>
      </c>
      <c r="C1198" s="1">
        <v>107.99</v>
      </c>
      <c r="D1198" s="1" t="str">
        <f>"EUR"</f>
        <v>EUR</v>
      </c>
      <c r="E1198" s="1" t="str">
        <f>"2017"</f>
        <v>2017</v>
      </c>
      <c r="F1198" s="1" t="str">
        <f>"Dapor"</f>
        <v>Dapor</v>
      </c>
      <c r="G1198" s="1" t="str">
        <f>"negarestanabi"</f>
        <v>negarestanabi</v>
      </c>
      <c r="J1198" s="1"/>
    </row>
    <row r="1199" spans="1:10" x14ac:dyDescent="0.2">
      <c r="A1199" s="1" t="str">
        <f>"Tuning Semiconducting and Metallic Quantum Dots: Spectroscopy and Dynamics"</f>
        <v>Tuning Semiconducting and Metallic Quantum Dots: Spectroscopy and Dynamics</v>
      </c>
      <c r="B1199" s="1" t="str">
        <f>"9789814745246"</f>
        <v>9789814745246</v>
      </c>
      <c r="C1199" s="1">
        <v>163.85</v>
      </c>
      <c r="D1199" s="1" t="str">
        <f>"GBP"</f>
        <v>GBP</v>
      </c>
      <c r="E1199" s="1" t="str">
        <f>"2016"</f>
        <v>2016</v>
      </c>
      <c r="F1199" s="1" t="str">
        <f>"von Borczyskowski"</f>
        <v>von Borczyskowski</v>
      </c>
      <c r="G1199" s="1" t="str">
        <f>"sal"</f>
        <v>sal</v>
      </c>
      <c r="J1199" s="1"/>
    </row>
    <row r="1200" spans="1:10" x14ac:dyDescent="0.2">
      <c r="A1200" s="1" t="str">
        <f>"Turbulence and Dispersion in the Planetary Boundary Layer"</f>
        <v>Turbulence and Dispersion in the Planetary Boundary Layer</v>
      </c>
      <c r="B1200" s="1" t="str">
        <f>"9783319436029"</f>
        <v>9783319436029</v>
      </c>
      <c r="C1200" s="1">
        <v>107.99</v>
      </c>
      <c r="D1200" s="1" t="str">
        <f>"EUR"</f>
        <v>EUR</v>
      </c>
      <c r="E1200" s="1" t="str">
        <f>"2017"</f>
        <v>2017</v>
      </c>
      <c r="F1200" s="1" t="str">
        <f>"Tampieri"</f>
        <v>Tampieri</v>
      </c>
      <c r="G1200" s="1" t="str">
        <f>"negarestanabi"</f>
        <v>negarestanabi</v>
      </c>
      <c r="J1200" s="1"/>
    </row>
    <row r="1201" spans="1:10" x14ac:dyDescent="0.2">
      <c r="A1201" s="1" t="str">
        <f>"Turbulence in the Solar Wind"</f>
        <v>Turbulence in the Solar Wind</v>
      </c>
      <c r="B1201" s="1" t="str">
        <f>"9783319434391"</f>
        <v>9783319434391</v>
      </c>
      <c r="C1201" s="1">
        <v>40.49</v>
      </c>
      <c r="D1201" s="1" t="str">
        <f>"EUR"</f>
        <v>EUR</v>
      </c>
      <c r="E1201" s="1" t="str">
        <f>"2016"</f>
        <v>2016</v>
      </c>
      <c r="F1201" s="1" t="str">
        <f>"Bruno"</f>
        <v>Bruno</v>
      </c>
      <c r="G1201" s="1" t="str">
        <f>"negarestanabi"</f>
        <v>negarestanabi</v>
      </c>
      <c r="J1201" s="1"/>
    </row>
    <row r="1202" spans="1:10" x14ac:dyDescent="0.2">
      <c r="A1202" s="1" t="str">
        <f>"TURBULENT TRANSPORT IN MAGNETIZED PLASMAS (SECOND EDITION)"</f>
        <v>TURBULENT TRANSPORT IN MAGNETIZED PLASMAS (SECOND EDITION)</v>
      </c>
      <c r="B1202" s="1" t="str">
        <f>"9789813225886"</f>
        <v>9789813225886</v>
      </c>
      <c r="C1202" s="1">
        <v>125.1</v>
      </c>
      <c r="D1202" s="1" t="str">
        <f>"GBP"</f>
        <v>GBP</v>
      </c>
      <c r="E1202" s="1" t="str">
        <f>"2017"</f>
        <v>2017</v>
      </c>
      <c r="F1202" s="1" t="str">
        <f>"HORTON WENDELL"</f>
        <v>HORTON WENDELL</v>
      </c>
      <c r="G1202" s="1" t="str">
        <f>"AsarBartar"</f>
        <v>AsarBartar</v>
      </c>
      <c r="J1202" s="1"/>
    </row>
    <row r="1203" spans="1:10" x14ac:dyDescent="0.2">
      <c r="A1203" s="1" t="str">
        <f>"ULTRA FUND TEC APPL 3E"</f>
        <v>ULTRA FUND TEC APPL 3E</v>
      </c>
      <c r="B1203" s="1" t="str">
        <f>"9780824758899"</f>
        <v>9780824758899</v>
      </c>
      <c r="C1203" s="1">
        <v>101.4</v>
      </c>
      <c r="D1203" s="1" t="str">
        <f>"GBP"</f>
        <v>GBP</v>
      </c>
      <c r="E1203" s="1" t="str">
        <f>"2012"</f>
        <v>2012</v>
      </c>
      <c r="F1203" s="1" t="str">
        <f>"LEONARD BOND"</f>
        <v>LEONARD BOND</v>
      </c>
      <c r="G1203" s="1" t="str">
        <f>"AsarBartar"</f>
        <v>AsarBartar</v>
      </c>
      <c r="J1203" s="1"/>
    </row>
    <row r="1204" spans="1:10" x14ac:dyDescent="0.2">
      <c r="A1204" s="1" t="str">
        <f>"Ultrafast Quantum Effects and Vibrational Dynamics in Organic and Biological Systems"</f>
        <v>Ultrafast Quantum Effects and Vibrational Dynamics in Organic and Biological Systems</v>
      </c>
      <c r="B1204" s="1" t="str">
        <f>"9783319633985"</f>
        <v>9783319633985</v>
      </c>
      <c r="C1204" s="1">
        <v>89.99</v>
      </c>
      <c r="D1204" s="1" t="str">
        <f>"EUR"</f>
        <v>EUR</v>
      </c>
      <c r="E1204" s="1" t="str">
        <f>"2017"</f>
        <v>2017</v>
      </c>
      <c r="F1204" s="1" t="str">
        <f>"Morgan"</f>
        <v>Morgan</v>
      </c>
      <c r="G1204" s="1" t="str">
        <f>"negarestanabi"</f>
        <v>negarestanabi</v>
      </c>
      <c r="J1204" s="1"/>
    </row>
    <row r="1205" spans="1:10" x14ac:dyDescent="0.2">
      <c r="A1205" s="1" t="str">
        <f>"Uncommon Paths in Quantum Physics"</f>
        <v>Uncommon Paths in Quantum Physics</v>
      </c>
      <c r="B1205" s="1" t="str">
        <f>"9780128102886"</f>
        <v>9780128102886</v>
      </c>
      <c r="C1205" s="1">
        <v>117</v>
      </c>
      <c r="D1205" s="1" t="str">
        <f>"USD"</f>
        <v>USD</v>
      </c>
      <c r="E1205" s="1" t="str">
        <f>"2017"</f>
        <v>2017</v>
      </c>
      <c r="F1205" s="1" t="str">
        <f>"Kazakov"</f>
        <v>Kazakov</v>
      </c>
      <c r="G1205" s="1" t="str">
        <f>"dehkadehketab"</f>
        <v>dehkadehketab</v>
      </c>
      <c r="J1205" s="1"/>
    </row>
    <row r="1206" spans="1:10" x14ac:dyDescent="0.2">
      <c r="A1206" s="1" t="str">
        <f>"Undersea Fiber Communication Systems, 2Nd Edition"</f>
        <v>Undersea Fiber Communication Systems, 2Nd Edition</v>
      </c>
      <c r="B1206" s="1" t="str">
        <f>"9780128042694"</f>
        <v>9780128042694</v>
      </c>
      <c r="C1206" s="1">
        <v>175.5</v>
      </c>
      <c r="D1206" s="1" t="str">
        <f>"USD"</f>
        <v>USD</v>
      </c>
      <c r="E1206" s="1" t="str">
        <f>"2015"</f>
        <v>2015</v>
      </c>
      <c r="F1206" s="1" t="str">
        <f>"N/A*"</f>
        <v>N/A*</v>
      </c>
      <c r="G1206" s="1" t="str">
        <f>"dehkadehketab"</f>
        <v>dehkadehketab</v>
      </c>
      <c r="J1206" s="1"/>
    </row>
    <row r="1207" spans="1:10" x14ac:dyDescent="0.2">
      <c r="A1207" s="1" t="str">
        <f>"Understanding Physics,2e"</f>
        <v>Understanding Physics,2e</v>
      </c>
      <c r="B1207" s="1" t="str">
        <f>"9780470746370"</f>
        <v>9780470746370</v>
      </c>
      <c r="C1207" s="1">
        <v>19.2</v>
      </c>
      <c r="D1207" s="1" t="str">
        <f>"USD"</f>
        <v>USD</v>
      </c>
      <c r="E1207" s="1" t="str">
        <f>"2010"</f>
        <v>2010</v>
      </c>
      <c r="F1207" s="1" t="str">
        <f>"Mansfield"</f>
        <v>Mansfield</v>
      </c>
      <c r="G1207" s="1" t="str">
        <f>"avanddanesh"</f>
        <v>avanddanesh</v>
      </c>
      <c r="J1207" s="1"/>
    </row>
    <row r="1208" spans="1:10" x14ac:dyDescent="0.2">
      <c r="A1208" s="1" t="str">
        <f>"Understanding Renewable Energy Systems"</f>
        <v>Understanding Renewable Energy Systems</v>
      </c>
      <c r="B1208" s="1" t="str">
        <f>"9781138781962"</f>
        <v>9781138781962</v>
      </c>
      <c r="C1208" s="1">
        <v>38.25</v>
      </c>
      <c r="D1208" s="1" t="str">
        <f>"GBP"</f>
        <v>GBP</v>
      </c>
      <c r="E1208" s="1" t="str">
        <f>"2016"</f>
        <v>2016</v>
      </c>
      <c r="F1208" s="1" t="str">
        <f>"Volker Quaschning"</f>
        <v>Volker Quaschning</v>
      </c>
      <c r="G1208" s="1" t="str">
        <f>"AsarBartar"</f>
        <v>AsarBartar</v>
      </c>
      <c r="J1208" s="1"/>
    </row>
    <row r="1209" spans="1:10" x14ac:dyDescent="0.2">
      <c r="A1209" s="1" t="str">
        <f>"Understanding Solid State Physics: Problems and Solutions"</f>
        <v>Understanding Solid State Physics: Problems and Solutions</v>
      </c>
      <c r="B1209" s="1" t="str">
        <f>"9789814267892"</f>
        <v>9789814267892</v>
      </c>
      <c r="C1209" s="1">
        <v>54.4</v>
      </c>
      <c r="D1209" s="1" t="str">
        <f>"GBP"</f>
        <v>GBP</v>
      </c>
      <c r="E1209" s="1" t="str">
        <f>"2015"</f>
        <v>2015</v>
      </c>
      <c r="F1209" s="1" t="str">
        <f>"Jacques Cazaux"</f>
        <v>Jacques Cazaux</v>
      </c>
      <c r="G1209" s="1" t="str">
        <f>"AsarBartar"</f>
        <v>AsarBartar</v>
      </c>
      <c r="J1209" s="1"/>
    </row>
    <row r="1210" spans="1:10" x14ac:dyDescent="0.2">
      <c r="A1210" s="1" t="str">
        <f>"Understanding Solid State Physics: Problems and Solutions"</f>
        <v>Understanding Solid State Physics: Problems and Solutions</v>
      </c>
      <c r="B1210" s="1" t="str">
        <f>"9789814267892"</f>
        <v>9789814267892</v>
      </c>
      <c r="C1210" s="1">
        <v>61.19</v>
      </c>
      <c r="D1210" s="1" t="str">
        <f>"GBP"</f>
        <v>GBP</v>
      </c>
      <c r="E1210" s="1" t="str">
        <f>"2016"</f>
        <v>2016</v>
      </c>
      <c r="F1210" s="1" t="str">
        <f>"CAZAUX"</f>
        <v>CAZAUX</v>
      </c>
      <c r="G1210" s="1" t="str">
        <f>"sal"</f>
        <v>sal</v>
      </c>
      <c r="J1210" s="1"/>
    </row>
    <row r="1211" spans="1:10" x14ac:dyDescent="0.2">
      <c r="A1211" s="1" t="str">
        <f>"UNDERSTANDING SYSTEMS: A GRAND CHALLENGE FOR 21ST CENTURY ENGINEERING"</f>
        <v>UNDERSTANDING SYSTEMS: A GRAND CHALLENGE FOR 21ST CENTURY ENGINEERING</v>
      </c>
      <c r="B1211" s="1" t="str">
        <f>"9789813225947"</f>
        <v>9789813225947</v>
      </c>
      <c r="C1211" s="1">
        <v>77.400000000000006</v>
      </c>
      <c r="D1211" s="1" t="str">
        <f>"GBP"</f>
        <v>GBP</v>
      </c>
      <c r="E1211" s="1" t="str">
        <f>"2017"</f>
        <v>2017</v>
      </c>
      <c r="F1211" s="1" t="str">
        <f>"INSANA MICHAEL F &amp;"</f>
        <v>INSANA MICHAEL F &amp;</v>
      </c>
      <c r="G1211" s="1" t="str">
        <f>"AsarBartar"</f>
        <v>AsarBartar</v>
      </c>
      <c r="J1211" s="1"/>
    </row>
    <row r="1212" spans="1:10" x14ac:dyDescent="0.2">
      <c r="A1212" s="1" t="str">
        <f>"Understanding Viscoelasticity: An Introduction to Rheology. 3/ed"</f>
        <v>Understanding Viscoelasticity: An Introduction to Rheology. 3/ed</v>
      </c>
      <c r="B1212" s="1" t="str">
        <f>"9783319619996"</f>
        <v>9783319619996</v>
      </c>
      <c r="C1212" s="1">
        <v>71.989999999999995</v>
      </c>
      <c r="D1212" s="1" t="str">
        <f>"EUR"</f>
        <v>EUR</v>
      </c>
      <c r="E1212" s="1" t="str">
        <f>"2017"</f>
        <v>2017</v>
      </c>
      <c r="F1212" s="1" t="str">
        <f>"Phan-Thien"</f>
        <v>Phan-Thien</v>
      </c>
      <c r="G1212" s="1" t="str">
        <f>"negarestanabi"</f>
        <v>negarestanabi</v>
      </c>
      <c r="J1212" s="1"/>
    </row>
    <row r="1213" spans="1:10" x14ac:dyDescent="0.2">
      <c r="A1213" s="1" t="str">
        <f>"Unified Field Theory for the Engineer and the Applied Scientist"</f>
        <v>Unified Field Theory for the Engineer and the Applied Scientist</v>
      </c>
      <c r="B1213" s="1" t="str">
        <f>"9783527407880"</f>
        <v>9783527407880</v>
      </c>
      <c r="C1213" s="1">
        <v>116.25</v>
      </c>
      <c r="D1213" s="1" t="str">
        <f>"USD"</f>
        <v>USD</v>
      </c>
      <c r="E1213" s="1" t="str">
        <f>"2009"</f>
        <v>2009</v>
      </c>
      <c r="F1213" s="1" t="str">
        <f>"Silverberg"</f>
        <v>Silverberg</v>
      </c>
      <c r="G1213" s="1" t="str">
        <f>"safirketab"</f>
        <v>safirketab</v>
      </c>
      <c r="J1213" s="1"/>
    </row>
    <row r="1214" spans="1:10" x14ac:dyDescent="0.2">
      <c r="A1214" s="1" t="str">
        <f>"Unified Non-Local Theory Of Transport Processes, G"</f>
        <v>Unified Non-Local Theory Of Transport Processes, G</v>
      </c>
      <c r="B1214" s="1" t="str">
        <f>"9780444634788"</f>
        <v>9780444634788</v>
      </c>
      <c r="C1214" s="1">
        <v>229.5</v>
      </c>
      <c r="D1214" s="1" t="str">
        <f>"USD"</f>
        <v>USD</v>
      </c>
      <c r="E1214" s="1" t="str">
        <f>"2015"</f>
        <v>2015</v>
      </c>
      <c r="F1214" s="1" t="str">
        <f>"N/A*"</f>
        <v>N/A*</v>
      </c>
      <c r="G1214" s="1" t="str">
        <f>"dehkadehketab"</f>
        <v>dehkadehketab</v>
      </c>
      <c r="J1214" s="1"/>
    </row>
    <row r="1215" spans="1:10" x14ac:dyDescent="0.2">
      <c r="A1215" s="1" t="str">
        <f>"UNIVERSAL MEASUREMENTS: HOW TO FREE THREE BIRDS IN ONE MOVE"</f>
        <v>UNIVERSAL MEASUREMENTS: HOW TO FREE THREE BIRDS IN ONE MOVE</v>
      </c>
      <c r="B1215" s="1" t="str">
        <f>"9789813220164"</f>
        <v>9789813220164</v>
      </c>
      <c r="C1215" s="1">
        <v>20.7</v>
      </c>
      <c r="D1215" s="1" t="str">
        <f>"GBP"</f>
        <v>GBP</v>
      </c>
      <c r="E1215" s="1" t="str">
        <f>"2017"</f>
        <v>2017</v>
      </c>
      <c r="F1215" s="1" t="str">
        <f>"AERTS DIEDERIK ET A"</f>
        <v>AERTS DIEDERIK ET A</v>
      </c>
      <c r="G1215" s="1" t="str">
        <f>"AsarBartar"</f>
        <v>AsarBartar</v>
      </c>
      <c r="J1215" s="1"/>
    </row>
    <row r="1216" spans="1:10" x14ac:dyDescent="0.2">
      <c r="A1216" s="1" t="str">
        <f>"Universal Quantum Computing: Supervening Decoherence â€” Surmounting Uncertainty"</f>
        <v>Universal Quantum Computing: Supervening Decoherence â€” Surmounting Uncertainty</v>
      </c>
      <c r="B1216" s="1" t="str">
        <f>"9789813145993"</f>
        <v>9789813145993</v>
      </c>
      <c r="C1216" s="1">
        <v>133.19999999999999</v>
      </c>
      <c r="D1216" s="1" t="str">
        <f>"GBP"</f>
        <v>GBP</v>
      </c>
      <c r="E1216" s="1" t="str">
        <f>"2016"</f>
        <v>2016</v>
      </c>
      <c r="F1216" s="1" t="str">
        <f>"Richard L Amoroso"</f>
        <v>Richard L Amoroso</v>
      </c>
      <c r="G1216" s="1" t="str">
        <f>"AsarBartar"</f>
        <v>AsarBartar</v>
      </c>
      <c r="J1216" s="1"/>
    </row>
    <row r="1217" spans="1:10" x14ac:dyDescent="0.2">
      <c r="A1217" s="1" t="str">
        <f>"University Physics: For Engineering and Science Students"</f>
        <v>University Physics: For Engineering and Science Students</v>
      </c>
      <c r="B1217" s="1" t="str">
        <f>"9781842658956"</f>
        <v>9781842658956</v>
      </c>
      <c r="C1217" s="1">
        <v>41.97</v>
      </c>
      <c r="D1217" s="1" t="str">
        <f>"GBP"</f>
        <v>GBP</v>
      </c>
      <c r="E1217" s="1" t="str">
        <f>"2015"</f>
        <v>2015</v>
      </c>
      <c r="F1217" s="1" t="str">
        <f>"Chaddha"</f>
        <v>Chaddha</v>
      </c>
      <c r="G1217" s="1" t="str">
        <f>"jahanadib"</f>
        <v>jahanadib</v>
      </c>
      <c r="J1217" s="1"/>
    </row>
    <row r="1218" spans="1:10" x14ac:dyDescent="0.2">
      <c r="A1218" s="1" t="str">
        <f>"Vacuum Nanoelectronic Devices: Novel Electron Sources and Applications"</f>
        <v>Vacuum Nanoelectronic Devices: Novel Electron Sources and Applications</v>
      </c>
      <c r="B1218" s="1" t="str">
        <f>"9781119037958"</f>
        <v>9781119037958</v>
      </c>
      <c r="C1218" s="1">
        <v>96</v>
      </c>
      <c r="D1218" s="1" t="str">
        <f>"USD"</f>
        <v>USD</v>
      </c>
      <c r="E1218" s="1" t="str">
        <f>"2015"</f>
        <v>2015</v>
      </c>
      <c r="F1218" s="1" t="str">
        <f>"Evtukh"</f>
        <v>Evtukh</v>
      </c>
      <c r="G1218" s="1" t="str">
        <f>"avanddanesh"</f>
        <v>avanddanesh</v>
      </c>
      <c r="J1218" s="1"/>
    </row>
    <row r="1219" spans="1:10" x14ac:dyDescent="0.2">
      <c r="A1219" s="1" t="str">
        <f>"Variational Approach to Gravity Field Theories: From Newton to Einstein and Beyond"</f>
        <v>Variational Approach to Gravity Field Theories: From Newton to Einstein and Beyond</v>
      </c>
      <c r="B1219" s="1" t="str">
        <f>"9783319512099"</f>
        <v>9783319512099</v>
      </c>
      <c r="C1219" s="1">
        <v>40.49</v>
      </c>
      <c r="D1219" s="1" t="str">
        <f>"EUR"</f>
        <v>EUR</v>
      </c>
      <c r="E1219" s="1" t="str">
        <f>"2017"</f>
        <v>2017</v>
      </c>
      <c r="F1219" s="1" t="str">
        <f>"Vecchiato"</f>
        <v>Vecchiato</v>
      </c>
      <c r="G1219" s="1" t="str">
        <f>"negarestanabi"</f>
        <v>negarestanabi</v>
      </c>
      <c r="J1219" s="1"/>
    </row>
    <row r="1220" spans="1:10" x14ac:dyDescent="0.2">
      <c r="A1220" s="1" t="str">
        <f>"Variational Formulation of Fluid and Geophysical Fluid Dynamics: Mechanics. Symmetries and Conservation Laws"</f>
        <v>Variational Formulation of Fluid and Geophysical Fluid Dynamics: Mechanics. Symmetries and Conservation Laws</v>
      </c>
      <c r="B1220" s="1" t="str">
        <f>"9783319596945"</f>
        <v>9783319596945</v>
      </c>
      <c r="C1220" s="1">
        <v>116.99</v>
      </c>
      <c r="D1220" s="1" t="str">
        <f>"EUR"</f>
        <v>EUR</v>
      </c>
      <c r="E1220" s="1" t="str">
        <f>"2018"</f>
        <v>2018</v>
      </c>
      <c r="F1220" s="1" t="str">
        <f>"Badin"</f>
        <v>Badin</v>
      </c>
      <c r="G1220" s="1" t="str">
        <f>"negarestanabi"</f>
        <v>negarestanabi</v>
      </c>
      <c r="J1220" s="1"/>
    </row>
    <row r="1221" spans="1:10" x14ac:dyDescent="0.2">
      <c r="A1221" s="1" t="str">
        <f>"Vector Spaces Matrices and Tensors in Physics"</f>
        <v>Vector Spaces Matrices and Tensors in Physics</v>
      </c>
      <c r="B1221" s="1" t="str">
        <f>"9788184876314"</f>
        <v>9788184876314</v>
      </c>
      <c r="C1221" s="1">
        <v>27.97</v>
      </c>
      <c r="D1221" s="1" t="str">
        <f>"GBP"</f>
        <v>GBP</v>
      </c>
      <c r="E1221" s="1" t="str">
        <f>"2018"</f>
        <v>2018</v>
      </c>
      <c r="F1221" s="1" t="str">
        <f>"Jain"</f>
        <v>Jain</v>
      </c>
      <c r="G1221" s="1" t="str">
        <f>"jahanadib"</f>
        <v>jahanadib</v>
      </c>
      <c r="J1221" s="1"/>
    </row>
    <row r="1222" spans="1:10" x14ac:dyDescent="0.2">
      <c r="A1222" s="1" t="str">
        <f>"Vector Spaces Matrices and Tensors in Physics"</f>
        <v>Vector Spaces Matrices and Tensors in Physics</v>
      </c>
      <c r="B1222" s="1" t="str">
        <f>"9788184876314"</f>
        <v>9788184876314</v>
      </c>
      <c r="C1222" s="1">
        <v>27.96</v>
      </c>
      <c r="D1222" s="1" t="str">
        <f>"GBP"</f>
        <v>GBP</v>
      </c>
      <c r="E1222" s="1" t="str">
        <f>"2018"</f>
        <v>2018</v>
      </c>
      <c r="F1222" s="1" t="str">
        <f>"Jain"</f>
        <v>Jain</v>
      </c>
      <c r="G1222" s="1" t="str">
        <f>"safirketab"</f>
        <v>safirketab</v>
      </c>
      <c r="J1222" s="1"/>
    </row>
    <row r="1223" spans="1:10" x14ac:dyDescent="0.2">
      <c r="A1223" s="1" t="str">
        <f>"Vibro-Acoustics"</f>
        <v>Vibro-Acoustics</v>
      </c>
      <c r="B1223" s="1" t="str">
        <f>"9783662531389"</f>
        <v>9783662531389</v>
      </c>
      <c r="C1223" s="1">
        <v>161.99</v>
      </c>
      <c r="D1223" s="1" t="str">
        <f>"EUR"</f>
        <v>EUR</v>
      </c>
      <c r="E1223" s="1" t="str">
        <f>"2017"</f>
        <v>2017</v>
      </c>
      <c r="F1223" s="1" t="str">
        <f>"Nilsson"</f>
        <v>Nilsson</v>
      </c>
      <c r="G1223" s="1" t="str">
        <f>"negarestanabi"</f>
        <v>negarestanabi</v>
      </c>
      <c r="J1223" s="1"/>
    </row>
    <row r="1224" spans="1:10" x14ac:dyDescent="0.2">
      <c r="A1224" s="1" t="str">
        <f>"Vibro-Acoustics. Volume 1. 2/ed"</f>
        <v>Vibro-Acoustics. Volume 1. 2/ed</v>
      </c>
      <c r="B1224" s="1" t="str">
        <f>"9783662478066"</f>
        <v>9783662478066</v>
      </c>
      <c r="C1224" s="1">
        <v>71.989999999999995</v>
      </c>
      <c r="D1224" s="1" t="str">
        <f>"EUR"</f>
        <v>EUR</v>
      </c>
      <c r="E1224" s="1" t="str">
        <f>"2015"</f>
        <v>2015</v>
      </c>
      <c r="F1224" s="1" t="str">
        <f>"Nilsson"</f>
        <v>Nilsson</v>
      </c>
      <c r="G1224" s="1" t="str">
        <f>"negarestanabi"</f>
        <v>negarestanabi</v>
      </c>
      <c r="J1224" s="1"/>
    </row>
    <row r="1225" spans="1:10" x14ac:dyDescent="0.2">
      <c r="A1225" s="1" t="str">
        <f>"Vibro-Acoustics. Volume 2. 2/ed"</f>
        <v>Vibro-Acoustics. Volume 2. 2/ed</v>
      </c>
      <c r="B1225" s="1" t="str">
        <f>"9783662479339"</f>
        <v>9783662479339</v>
      </c>
      <c r="C1225" s="1">
        <v>67.489999999999995</v>
      </c>
      <c r="D1225" s="1" t="str">
        <f>"EUR"</f>
        <v>EUR</v>
      </c>
      <c r="E1225" s="1" t="str">
        <f>"2016"</f>
        <v>2016</v>
      </c>
      <c r="F1225" s="1" t="str">
        <f>"Nilsson"</f>
        <v>Nilsson</v>
      </c>
      <c r="G1225" s="1" t="str">
        <f>"negarestanabi"</f>
        <v>negarestanabi</v>
      </c>
      <c r="J1225" s="1"/>
    </row>
    <row r="1226" spans="1:10" x14ac:dyDescent="0.2">
      <c r="A1226" s="1" t="str">
        <f>"Vibro-Acoustics. Volume 3. 2/ed"</f>
        <v>Vibro-Acoustics. Volume 3. 2/ed</v>
      </c>
      <c r="B1226" s="1" t="str">
        <f>"9783662479360"</f>
        <v>9783662479360</v>
      </c>
      <c r="C1226" s="1">
        <v>62.99</v>
      </c>
      <c r="D1226" s="1" t="str">
        <f>"EUR"</f>
        <v>EUR</v>
      </c>
      <c r="E1226" s="1" t="str">
        <f>"2016"</f>
        <v>2016</v>
      </c>
      <c r="F1226" s="1" t="str">
        <f>"Nilsson"</f>
        <v>Nilsson</v>
      </c>
      <c r="G1226" s="1" t="str">
        <f>"negarestanabi"</f>
        <v>negarestanabi</v>
      </c>
      <c r="J1226" s="1"/>
    </row>
    <row r="1227" spans="1:10" x14ac:dyDescent="0.2">
      <c r="A1227" s="1" t="str">
        <f>"Vortices and Nanostructured Superconductors"</f>
        <v>Vortices and Nanostructured Superconductors</v>
      </c>
      <c r="B1227" s="1" t="str">
        <f>"9783319593531"</f>
        <v>9783319593531</v>
      </c>
      <c r="C1227" s="1">
        <v>107.99</v>
      </c>
      <c r="D1227" s="1" t="str">
        <f>"EUR"</f>
        <v>EUR</v>
      </c>
      <c r="E1227" s="1" t="str">
        <f>"2017"</f>
        <v>2017</v>
      </c>
      <c r="F1227" s="1" t="str">
        <f>"Crisan"</f>
        <v>Crisan</v>
      </c>
      <c r="G1227" s="1" t="str">
        <f>"negarestanabi"</f>
        <v>negarestanabi</v>
      </c>
      <c r="J1227" s="1"/>
    </row>
    <row r="1228" spans="1:10" x14ac:dyDescent="0.2">
      <c r="A1228" s="1" t="str">
        <f>"Wandering Stars - About Planets And Exo-Planets: An Introductory Notebook"</f>
        <v>Wandering Stars - About Planets And Exo-Planets: An Introductory Notebook</v>
      </c>
      <c r="B1228" s="1" t="str">
        <f>"9781860944765"</f>
        <v>9781860944765</v>
      </c>
      <c r="C1228" s="1">
        <v>15.5</v>
      </c>
      <c r="D1228" s="1" t="str">
        <f>"GBP"</f>
        <v>GBP</v>
      </c>
      <c r="E1228" s="1" t="str">
        <f>"2006"</f>
        <v>2006</v>
      </c>
      <c r="F1228" s="1" t="str">
        <f>"Cole George H A"</f>
        <v>Cole George H A</v>
      </c>
      <c r="G1228" s="1" t="str">
        <f>"kowkab"</f>
        <v>kowkab</v>
      </c>
      <c r="J1228" s="1"/>
    </row>
    <row r="1229" spans="1:10" x14ac:dyDescent="0.2">
      <c r="A1229" s="1" t="str">
        <f>"Wave Motion as Inquiry: The Physics and Applications of Light and Sound"</f>
        <v>Wave Motion as Inquiry: The Physics and Applications of Light and Sound</v>
      </c>
      <c r="B1229" s="1" t="str">
        <f>"9783319457567"</f>
        <v>9783319457567</v>
      </c>
      <c r="C1229" s="1">
        <v>44.99</v>
      </c>
      <c r="D1229" s="1" t="str">
        <f>"EUR"</f>
        <v>EUR</v>
      </c>
      <c r="E1229" s="1" t="str">
        <f>"2017"</f>
        <v>2017</v>
      </c>
      <c r="F1229" s="1" t="str">
        <f>"Espinoza"</f>
        <v>Espinoza</v>
      </c>
      <c r="G1229" s="1" t="str">
        <f>"negarestanabi"</f>
        <v>negarestanabi</v>
      </c>
      <c r="J1229" s="1"/>
    </row>
    <row r="1230" spans="1:10" x14ac:dyDescent="0.2">
      <c r="A1230" s="1" t="str">
        <f>"Wave Physics: Oscillations - Solitons - Chaos"</f>
        <v>Wave Physics: Oscillations - Solitons - Chaos</v>
      </c>
      <c r="B1230" s="1" t="str">
        <f>"9783540879077"</f>
        <v>9783540879077</v>
      </c>
      <c r="C1230" s="1">
        <v>25</v>
      </c>
      <c r="D1230" s="1" t="str">
        <f>"EUR"</f>
        <v>EUR</v>
      </c>
      <c r="E1230" s="1" t="str">
        <f>"2009"</f>
        <v>2009</v>
      </c>
      <c r="F1230" s="1" t="str">
        <f>"Nettel"</f>
        <v>Nettel</v>
      </c>
      <c r="G1230" s="1" t="str">
        <f>"kowkab"</f>
        <v>kowkab</v>
      </c>
      <c r="J1230" s="1"/>
    </row>
    <row r="1231" spans="1:10" x14ac:dyDescent="0.2">
      <c r="A1231" s="1" t="str">
        <f>"Wide Bandgap Light Emitting Materials And Devices"</f>
        <v>Wide Bandgap Light Emitting Materials And Devices</v>
      </c>
      <c r="B1231" s="1" t="str">
        <f>"9783527403318"</f>
        <v>9783527403318</v>
      </c>
      <c r="C1231" s="1">
        <v>111</v>
      </c>
      <c r="D1231" s="1" t="str">
        <f>"USD"</f>
        <v>USD</v>
      </c>
      <c r="E1231" s="1" t="str">
        <f>"2007"</f>
        <v>2007</v>
      </c>
      <c r="F1231" s="1" t="str">
        <f>"Neumark"</f>
        <v>Neumark</v>
      </c>
      <c r="G1231" s="1" t="str">
        <f>"safirketab"</f>
        <v>safirketab</v>
      </c>
      <c r="J1231" s="1"/>
    </row>
    <row r="1232" spans="1:10" x14ac:dyDescent="0.2">
      <c r="A1232" s="1" t="str">
        <f>"Wind Turbine Airfoils and BladesOptimization Design Theory"</f>
        <v>Wind Turbine Airfoils and BladesOptimization Design Theory</v>
      </c>
      <c r="B1232" s="1" t="str">
        <f>"9783110344219"</f>
        <v>9783110344219</v>
      </c>
      <c r="C1232" s="1">
        <v>89.95</v>
      </c>
      <c r="D1232" s="1" t="str">
        <f>"EUR"</f>
        <v>EUR</v>
      </c>
      <c r="E1232" s="1" t="str">
        <f>"2018"</f>
        <v>2018</v>
      </c>
      <c r="F1232" s="1" t="str">
        <f>"Jin Chen Quan Wang"</f>
        <v>Jin Chen Quan Wang</v>
      </c>
      <c r="G1232" s="1" t="str">
        <f>"AsarBartar"</f>
        <v>AsarBartar</v>
      </c>
      <c r="J1232" s="1"/>
    </row>
    <row r="1233" spans="1:10" x14ac:dyDescent="0.2">
      <c r="A1233" s="1" t="str">
        <f>"WONDERS OF PHYSICS, THE (3RD EDITION)"</f>
        <v>WONDERS OF PHYSICS, THE (3RD EDITION)</v>
      </c>
      <c r="B1233" s="1" t="str">
        <f>"9789814374156"</f>
        <v>9789814374156</v>
      </c>
      <c r="C1233" s="1">
        <v>33.6</v>
      </c>
      <c r="D1233" s="1" t="str">
        <f>"GBP"</f>
        <v>GBP</v>
      </c>
      <c r="E1233" s="1" t="str">
        <f>"2012"</f>
        <v>2012</v>
      </c>
      <c r="F1233" s="1" t="str">
        <f>"VARLAMOV ANDREI ET"</f>
        <v>VARLAMOV ANDREI ET</v>
      </c>
      <c r="G1233" s="1" t="str">
        <f>"AsarBartar"</f>
        <v>AsarBartar</v>
      </c>
      <c r="J1233" s="1"/>
    </row>
    <row r="1234" spans="1:10" x14ac:dyDescent="0.2">
      <c r="A1234" s="1" t="str">
        <f>"WOOD PELLET HEATING SYSTEMS: THE EARTHSCAN EXPERT HANDB"</f>
        <v>WOOD PELLET HEATING SYSTEMS: THE EARTHSCAN EXPERT HANDB</v>
      </c>
      <c r="B1234" s="1" t="str">
        <f>"9781844078455"</f>
        <v>9781844078455</v>
      </c>
      <c r="C1234" s="1">
        <v>10.49</v>
      </c>
      <c r="D1234" s="1" t="str">
        <f>"GBP"</f>
        <v>GBP</v>
      </c>
      <c r="E1234" s="1" t="str">
        <f>"2010"</f>
        <v>2010</v>
      </c>
      <c r="F1234" s="1" t="str">
        <f>"DILWYN JENKINS"</f>
        <v>DILWYN JENKINS</v>
      </c>
      <c r="G1234" s="1" t="str">
        <f>"AsarBartar"</f>
        <v>AsarBartar</v>
      </c>
      <c r="J1234" s="1"/>
    </row>
    <row r="1235" spans="1:10" x14ac:dyDescent="0.2">
      <c r="A1235" s="1" t="str">
        <f>"WORLD ACCORDING TO QUANTUM MECHANICS, THE: WHY THE LAWS OF PHYSICS MAKE PERFECT SENSE AFTER ALL"</f>
        <v>WORLD ACCORDING TO QUANTUM MECHANICS, THE: WHY THE LAWS OF PHYSICS MAKE PERFECT SENSE AFTER ALL</v>
      </c>
      <c r="B1235" s="1" t="str">
        <f>"9789814293372"</f>
        <v>9789814293372</v>
      </c>
      <c r="C1235" s="1">
        <v>17.100000000000001</v>
      </c>
      <c r="D1235" s="1" t="str">
        <f>"GBP"</f>
        <v>GBP</v>
      </c>
      <c r="E1235" s="1" t="str">
        <f>"2011"</f>
        <v>2011</v>
      </c>
      <c r="F1235" s="1" t="str">
        <f>"MOHRHOFF ULRICH"</f>
        <v>MOHRHOFF ULRICH</v>
      </c>
      <c r="G1235" s="1" t="str">
        <f>"AsarBartar"</f>
        <v>AsarBartar</v>
      </c>
      <c r="J1235" s="1"/>
    </row>
    <row r="1236" spans="1:10" ht="15" thickBot="1" x14ac:dyDescent="0.25">
      <c r="A1236" s="7"/>
      <c r="B1236" s="7"/>
      <c r="C1236" s="7"/>
      <c r="D1236" s="7"/>
      <c r="E1236" s="7"/>
      <c r="F1236" s="7"/>
      <c r="G1236" s="7"/>
      <c r="H1236" s="7"/>
      <c r="I1236" s="7"/>
      <c r="J1236" s="7"/>
    </row>
    <row r="1237" spans="1:10" ht="15" customHeight="1" x14ac:dyDescent="0.2">
      <c r="A1237" s="17" t="s">
        <v>10</v>
      </c>
      <c r="B1237" s="18"/>
      <c r="C1237" s="18"/>
      <c r="D1237" s="18"/>
      <c r="E1237" s="18"/>
      <c r="F1237" s="18"/>
      <c r="G1237" s="18"/>
      <c r="H1237" s="18"/>
      <c r="I1237" s="18"/>
      <c r="J1237" s="19"/>
    </row>
    <row r="1238" spans="1:10" x14ac:dyDescent="0.2">
      <c r="A1238" s="20"/>
      <c r="B1238" s="21"/>
      <c r="C1238" s="21"/>
      <c r="D1238" s="21"/>
      <c r="E1238" s="21"/>
      <c r="F1238" s="21"/>
      <c r="G1238" s="21"/>
      <c r="H1238" s="21"/>
      <c r="I1238" s="21"/>
      <c r="J1238" s="22"/>
    </row>
    <row r="1239" spans="1:10" ht="29.25" customHeight="1" x14ac:dyDescent="0.2">
      <c r="A1239" s="15" t="s">
        <v>0</v>
      </c>
      <c r="B1239" s="14" t="s">
        <v>1</v>
      </c>
      <c r="C1239" s="14" t="s">
        <v>2</v>
      </c>
      <c r="D1239" s="14" t="s">
        <v>3</v>
      </c>
      <c r="E1239" s="14" t="s">
        <v>4</v>
      </c>
      <c r="F1239" s="14" t="s">
        <v>5</v>
      </c>
      <c r="G1239" s="14" t="s">
        <v>6</v>
      </c>
      <c r="H1239" s="14"/>
      <c r="I1239" s="14"/>
      <c r="J1239" s="16"/>
    </row>
    <row r="1240" spans="1:10" x14ac:dyDescent="0.2">
      <c r="A1240" s="2" t="str">
        <f>"1000 INVENTIONS AND DISCOVERIES"</f>
        <v>1000 INVENTIONS AND DISCOVERIES</v>
      </c>
      <c r="B1240" s="1" t="str">
        <f>"9781409350705"</f>
        <v>9781409350705</v>
      </c>
      <c r="C1240" s="1">
        <v>11.69</v>
      </c>
      <c r="D1240" s="1" t="str">
        <f>"GBP"</f>
        <v>GBP</v>
      </c>
      <c r="E1240" s="1" t="str">
        <f>"2014"</f>
        <v>2014</v>
      </c>
      <c r="F1240" s="1" t="str">
        <f>"Roger Bridgman"</f>
        <v>Roger Bridgman</v>
      </c>
      <c r="G1240" s="1" t="str">
        <f>"bookcity"</f>
        <v>bookcity</v>
      </c>
    </row>
    <row r="1241" spans="1:10" x14ac:dyDescent="0.2">
      <c r="A1241" s="2" t="str">
        <f>"1001 NEW COUNTRY GARDEN HINTS"</f>
        <v>1001 NEW COUNTRY GARDEN HINTS</v>
      </c>
      <c r="B1241" s="1" t="str">
        <f>"9781844060092"</f>
        <v>9781844060092</v>
      </c>
      <c r="C1241" s="1">
        <v>6.25</v>
      </c>
      <c r="D1241" s="1" t="str">
        <f>"USD"</f>
        <v>USD</v>
      </c>
      <c r="E1241" s="1" t="str">
        <f>"2014"</f>
        <v>2014</v>
      </c>
      <c r="F1241" s="1" t="str">
        <f>"Barclay,Alex"</f>
        <v>Barclay,Alex</v>
      </c>
      <c r="G1241" s="1" t="str">
        <f>"bookcity"</f>
        <v>bookcity</v>
      </c>
    </row>
    <row r="1242" spans="1:10" x14ac:dyDescent="0.2">
      <c r="A1242" s="2" t="str">
        <f>"50 Science Ideas You Really Need to Know"</f>
        <v>50 Science Ideas You Really Need to Know</v>
      </c>
      <c r="B1242" s="1" t="str">
        <f>"9781784296148"</f>
        <v>9781784296148</v>
      </c>
      <c r="C1242" s="1">
        <v>10.79</v>
      </c>
      <c r="D1242" s="1" t="str">
        <f t="shared" ref="D1242:D1248" si="32">"GBP"</f>
        <v>GBP</v>
      </c>
      <c r="E1242" s="1" t="str">
        <f>"2016"</f>
        <v>2016</v>
      </c>
      <c r="F1242" s="1" t="str">
        <f>"Gail Dixon"</f>
        <v>Gail Dixon</v>
      </c>
      <c r="G1242" s="1" t="str">
        <f>"bookcity"</f>
        <v>bookcity</v>
      </c>
    </row>
    <row r="1243" spans="1:10" x14ac:dyDescent="0.2">
      <c r="A1243" s="2" t="str">
        <f>"500 freshwater Aquarium fish"</f>
        <v>500 freshwater Aquarium fish</v>
      </c>
      <c r="B1243" s="1" t="str">
        <f>"9781770859197"</f>
        <v>9781770859197</v>
      </c>
      <c r="C1243" s="1">
        <v>14.41</v>
      </c>
      <c r="D1243" s="1" t="str">
        <f t="shared" si="32"/>
        <v>GBP</v>
      </c>
      <c r="E1243" s="1" t="str">
        <f>"2017"</f>
        <v>2017</v>
      </c>
      <c r="F1243" s="1" t="str">
        <f>"chris lioyd"</f>
        <v>chris lioyd</v>
      </c>
      <c r="G1243" s="1" t="str">
        <f>"jahanadib"</f>
        <v>jahanadib</v>
      </c>
    </row>
    <row r="1244" spans="1:10" x14ac:dyDescent="0.2">
      <c r="A1244" s="2" t="str">
        <f>"A Guide to AIDS (Pocket Guides to Biomedical Sciences)"</f>
        <v>A Guide to AIDS (Pocket Guides to Biomedical Sciences)</v>
      </c>
      <c r="B1244" s="1" t="str">
        <f>"9781138032897"</f>
        <v>9781138032897</v>
      </c>
      <c r="C1244" s="1">
        <v>27</v>
      </c>
      <c r="D1244" s="1" t="str">
        <f t="shared" si="32"/>
        <v>GBP</v>
      </c>
      <c r="E1244" s="1" t="str">
        <f>"2017"</f>
        <v>2017</v>
      </c>
      <c r="F1244" s="1" t="str">
        <f>"BAGASRA"</f>
        <v>BAGASRA</v>
      </c>
      <c r="G1244" s="1" t="str">
        <f>"sal"</f>
        <v>sal</v>
      </c>
    </row>
    <row r="1245" spans="1:10" x14ac:dyDescent="0.2">
      <c r="A1245" s="2" t="str">
        <f>"ALL ABOUT BIOLOGY"</f>
        <v>ALL ABOUT BIOLOGY</v>
      </c>
      <c r="B1245" s="1" t="str">
        <f>"9780241243695"</f>
        <v>9780241243695</v>
      </c>
      <c r="C1245" s="1">
        <v>8.09</v>
      </c>
      <c r="D1245" s="1" t="str">
        <f t="shared" si="32"/>
        <v>GBP</v>
      </c>
      <c r="E1245" s="1" t="str">
        <f>"2016"</f>
        <v>2016</v>
      </c>
      <c r="F1245" s="1" t="str">
        <f>"Robert Winston"</f>
        <v>Robert Winston</v>
      </c>
      <c r="G1245" s="1" t="str">
        <f>"bookcity"</f>
        <v>bookcity</v>
      </c>
    </row>
    <row r="1246" spans="1:10" x14ac:dyDescent="0.2">
      <c r="A1246" s="2" t="str">
        <f>"ALL ABOUT CHEMISTRY"</f>
        <v>ALL ABOUT CHEMISTRY</v>
      </c>
      <c r="B1246" s="1" t="str">
        <f>"9780241206577"</f>
        <v>9780241206577</v>
      </c>
      <c r="C1246" s="1">
        <v>8.09</v>
      </c>
      <c r="D1246" s="1" t="str">
        <f t="shared" si="32"/>
        <v>GBP</v>
      </c>
      <c r="E1246" s="1" t="str">
        <f>"2015"</f>
        <v>2015</v>
      </c>
      <c r="F1246" s="1" t="str">
        <f>"Robert Winston"</f>
        <v>Robert Winston</v>
      </c>
      <c r="G1246" s="1" t="str">
        <f>"bookcity"</f>
        <v>bookcity</v>
      </c>
    </row>
    <row r="1247" spans="1:10" x14ac:dyDescent="0.2">
      <c r="A1247" s="2" t="str">
        <f>"ALL ABOUT EVOLUTION"</f>
        <v>ALL ABOUT EVOLUTION</v>
      </c>
      <c r="B1247" s="1" t="str">
        <f>"9780241243664"</f>
        <v>9780241243664</v>
      </c>
      <c r="C1247" s="1">
        <v>8.09</v>
      </c>
      <c r="D1247" s="1" t="str">
        <f t="shared" si="32"/>
        <v>GBP</v>
      </c>
      <c r="E1247" s="1" t="str">
        <f>"2016"</f>
        <v>2016</v>
      </c>
      <c r="F1247" s="1" t="str">
        <f>"DK"</f>
        <v>DK</v>
      </c>
      <c r="G1247" s="1" t="str">
        <f>"bookcity"</f>
        <v>bookcity</v>
      </c>
    </row>
    <row r="1248" spans="1:10" x14ac:dyDescent="0.2">
      <c r="A1248" s="2" t="str">
        <f>"ALL ABOUT PHYSICS"</f>
        <v>ALL ABOUT PHYSICS</v>
      </c>
      <c r="B1248" s="1" t="str">
        <f>"9780241206553"</f>
        <v>9780241206553</v>
      </c>
      <c r="C1248" s="1">
        <v>8.09</v>
      </c>
      <c r="D1248" s="1" t="str">
        <f t="shared" si="32"/>
        <v>GBP</v>
      </c>
      <c r="E1248" s="1" t="str">
        <f>"2015"</f>
        <v>2015</v>
      </c>
      <c r="F1248" s="1" t="str">
        <f>"Richard Hammond"</f>
        <v>Richard Hammond</v>
      </c>
      <c r="G1248" s="1" t="str">
        <f>"bookcity"</f>
        <v>bookcity</v>
      </c>
    </row>
    <row r="1249" spans="1:7" x14ac:dyDescent="0.2">
      <c r="A1249" s="2" t="str">
        <f>"All About Roses: A Guide to Growing and Loving Roses"</f>
        <v>All About Roses: A Guide to Growing and Loving Roses</v>
      </c>
      <c r="B1249" s="1" t="str">
        <f>"9781921517327"</f>
        <v>9781921517327</v>
      </c>
      <c r="C1249" s="1">
        <v>8.75</v>
      </c>
      <c r="D1249" s="1" t="str">
        <f>"USD"</f>
        <v>USD</v>
      </c>
      <c r="E1249" s="1" t="str">
        <f>"2014"</f>
        <v>2014</v>
      </c>
      <c r="F1249" s="1" t="str">
        <f>"Diana Sargeant"</f>
        <v>Diana Sargeant</v>
      </c>
      <c r="G1249" s="1" t="str">
        <f>"bookcity"</f>
        <v>bookcity</v>
      </c>
    </row>
    <row r="1250" spans="1:7" x14ac:dyDescent="0.2">
      <c r="A1250" s="2" t="str">
        <f>"An Introduction to Health Information Technology in LTPAC Care Settings (HIMSS Book Series)"</f>
        <v>An Introduction to Health Information Technology in LTPAC Care Settings (HIMSS Book Series)</v>
      </c>
      <c r="B1250" s="1" t="str">
        <f>"9781138039148"</f>
        <v>9781138039148</v>
      </c>
      <c r="C1250" s="1">
        <v>44.99</v>
      </c>
      <c r="D1250" s="1" t="str">
        <f>"GBP"</f>
        <v>GBP</v>
      </c>
      <c r="E1250" s="1" t="str">
        <f>"2018"</f>
        <v>2018</v>
      </c>
      <c r="F1250" s="1" t="str">
        <f>"Pettit"</f>
        <v>Pettit</v>
      </c>
      <c r="G1250" s="1" t="str">
        <f>"sal"</f>
        <v>sal</v>
      </c>
    </row>
    <row r="1251" spans="1:7" x14ac:dyDescent="0.2">
      <c r="A1251" s="2" t="str">
        <f>"An Introduction to Physical Oncology: How Mechanistic Mathematical Modeling Can Improve Cancer Therapy Outcomes (Chapman &amp; Hall/CRC Mathematical and Computational Biology)"</f>
        <v>An Introduction to Physical Oncology: How Mechanistic Mathematical Modeling Can Improve Cancer Therapy Outcomes (Chapman &amp; Hall/CRC Mathematical and Computational Biology)</v>
      </c>
      <c r="B1251" s="1" t="str">
        <f>"9781466551343"</f>
        <v>9781466551343</v>
      </c>
      <c r="C1251" s="1">
        <v>62.99</v>
      </c>
      <c r="D1251" s="1" t="str">
        <f>"GBP"</f>
        <v>GBP</v>
      </c>
      <c r="E1251" s="1" t="str">
        <f>"2017"</f>
        <v>2017</v>
      </c>
      <c r="F1251" s="1" t="str">
        <f>"CRISTINI"</f>
        <v>CRISTINI</v>
      </c>
      <c r="G1251" s="1" t="str">
        <f>"sal"</f>
        <v>sal</v>
      </c>
    </row>
    <row r="1252" spans="1:7" x14ac:dyDescent="0.2">
      <c r="A1252" s="2" t="str">
        <f>"ANDI C FLOWERS IN THE GARDEN"</f>
        <v>ANDI C FLOWERS IN THE GARDEN</v>
      </c>
      <c r="B1252" s="1" t="str">
        <f>"9780711229662"</f>
        <v>9780711229662</v>
      </c>
      <c r="C1252" s="1">
        <v>6.5</v>
      </c>
      <c r="D1252" s="1" t="str">
        <f>"USD"</f>
        <v>USD</v>
      </c>
      <c r="E1252" s="1" t="str">
        <f>"2009"</f>
        <v>2009</v>
      </c>
      <c r="F1252" s="1" t="str">
        <f>"Clevely,Andi"</f>
        <v>Clevely,Andi</v>
      </c>
      <c r="G1252" s="1" t="str">
        <f>"bookcity"</f>
        <v>bookcity</v>
      </c>
    </row>
    <row r="1253" spans="1:7" x14ac:dyDescent="0.2">
      <c r="A1253" s="2" t="str">
        <f>"Behavioral Neuroendocrinology"</f>
        <v>Behavioral Neuroendocrinology</v>
      </c>
      <c r="B1253" s="1" t="str">
        <f>"9781498731911"</f>
        <v>9781498731911</v>
      </c>
      <c r="C1253" s="1">
        <v>108.9</v>
      </c>
      <c r="D1253" s="1" t="str">
        <f>"GBP"</f>
        <v>GBP</v>
      </c>
      <c r="E1253" s="1" t="str">
        <f>"2017"</f>
        <v>2017</v>
      </c>
      <c r="F1253" s="1" t="str">
        <f>"Komisaruk"</f>
        <v>Komisaruk</v>
      </c>
      <c r="G1253" s="1" t="str">
        <f>"sal"</f>
        <v>sal</v>
      </c>
    </row>
    <row r="1254" spans="1:7" x14ac:dyDescent="0.2">
      <c r="A1254" s="2" t="str">
        <f>"Biochar: A Guide to Analytical Methods"</f>
        <v>Biochar: A Guide to Analytical Methods</v>
      </c>
      <c r="B1254" s="1" t="str">
        <f>"9781498765534"</f>
        <v>9781498765534</v>
      </c>
      <c r="C1254" s="1">
        <v>40.49</v>
      </c>
      <c r="D1254" s="1" t="str">
        <f>"GBP"</f>
        <v>GBP</v>
      </c>
      <c r="E1254" s="1" t="str">
        <f>"2017"</f>
        <v>2017</v>
      </c>
      <c r="F1254" s="1" t="str">
        <f>"Singh"</f>
        <v>Singh</v>
      </c>
      <c r="G1254" s="1" t="str">
        <f>"sal"</f>
        <v>sal</v>
      </c>
    </row>
    <row r="1255" spans="1:7" x14ac:dyDescent="0.2">
      <c r="A1255" s="2" t="str">
        <f>"Blooming Love"</f>
        <v>Blooming Love</v>
      </c>
      <c r="B1255" s="1" t="str">
        <f>"9789058562579"</f>
        <v>9789058562579</v>
      </c>
      <c r="C1255" s="1">
        <v>32.75</v>
      </c>
      <c r="D1255" s="1" t="str">
        <f t="shared" ref="D1255:D1260" si="33">"USD"</f>
        <v>USD</v>
      </c>
      <c r="E1255" s="1" t="str">
        <f>"2008"</f>
        <v>2008</v>
      </c>
      <c r="F1255" s="1" t="str">
        <f>"Molenaar, Edwin"</f>
        <v>Molenaar, Edwin</v>
      </c>
      <c r="G1255" s="1" t="str">
        <f t="shared" ref="G1255:G1260" si="34">"bookcity"</f>
        <v>bookcity</v>
      </c>
    </row>
    <row r="1256" spans="1:7" x14ac:dyDescent="0.2">
      <c r="A1256" s="2" t="str">
        <f>"BONSAI"</f>
        <v>BONSAI</v>
      </c>
      <c r="B1256" s="1" t="str">
        <f>"9788854408432"</f>
        <v>9788854408432</v>
      </c>
      <c r="C1256" s="1">
        <v>45</v>
      </c>
      <c r="D1256" s="1" t="str">
        <f t="shared" si="33"/>
        <v>USD</v>
      </c>
      <c r="E1256" s="1" t="str">
        <f>"2014"</f>
        <v>2014</v>
      </c>
      <c r="F1256" s="1" t="str">
        <f>"Botticelli,Anna Mari"</f>
        <v>Botticelli,Anna Mari</v>
      </c>
      <c r="G1256" s="1" t="str">
        <f t="shared" si="34"/>
        <v>bookcity</v>
      </c>
    </row>
    <row r="1257" spans="1:7" x14ac:dyDescent="0.2">
      <c r="A1257" s="2" t="str">
        <f>"Bonsai"</f>
        <v>Bonsai</v>
      </c>
      <c r="B1257" s="1" t="str">
        <f>"9781844030194"</f>
        <v>9781844030194</v>
      </c>
      <c r="C1257" s="1">
        <v>5.5</v>
      </c>
      <c r="D1257" s="1" t="str">
        <f t="shared" si="33"/>
        <v>USD</v>
      </c>
      <c r="E1257" s="1" t="str">
        <f>"2003"</f>
        <v>2003</v>
      </c>
      <c r="F1257" s="1" t="str">
        <f>"Â Dear Hancock"</f>
        <v>Â Dear Hancock</v>
      </c>
      <c r="G1257" s="1" t="str">
        <f t="shared" si="34"/>
        <v>bookcity</v>
      </c>
    </row>
    <row r="1258" spans="1:7" x14ac:dyDescent="0.2">
      <c r="A1258" s="2" t="str">
        <f>"Bonsai Basics ? A Comprehensive Guide to Care and Cultivation"</f>
        <v>Bonsai Basics ? A Comprehensive Guide to Care and Cultivation</v>
      </c>
      <c r="B1258" s="1" t="str">
        <f>"9780600619109"</f>
        <v>9780600619109</v>
      </c>
      <c r="C1258" s="1">
        <v>10</v>
      </c>
      <c r="D1258" s="1" t="str">
        <f t="shared" si="33"/>
        <v>USD</v>
      </c>
      <c r="E1258" s="1" t="str">
        <f>"2012"</f>
        <v>2012</v>
      </c>
      <c r="F1258" s="1" t="str">
        <f>"hamlyn"</f>
        <v>hamlyn</v>
      </c>
      <c r="G1258" s="1" t="str">
        <f t="shared" si="34"/>
        <v>bookcity</v>
      </c>
    </row>
    <row r="1259" spans="1:7" x14ac:dyDescent="0.2">
      <c r="A1259" s="2" t="str">
        <f>"BONSAIÂ "</f>
        <v>BONSAIÂ </v>
      </c>
      <c r="B1259" s="1" t="str">
        <f>"9781409344087"</f>
        <v>9781409344087</v>
      </c>
      <c r="C1259" s="1">
        <v>28</v>
      </c>
      <c r="D1259" s="1" t="str">
        <f t="shared" si="33"/>
        <v>USD</v>
      </c>
      <c r="E1259" s="1" t="str">
        <f>"2014"</f>
        <v>2014</v>
      </c>
      <c r="F1259" s="1" t="str">
        <f>"AUPING,MICHAEL"</f>
        <v>AUPING,MICHAEL</v>
      </c>
      <c r="G1259" s="1" t="str">
        <f t="shared" si="34"/>
        <v>bookcity</v>
      </c>
    </row>
    <row r="1260" spans="1:7" x14ac:dyDescent="0.2">
      <c r="A1260" s="2" t="str">
        <f>"Botany For Dummies"</f>
        <v>Botany For Dummies</v>
      </c>
      <c r="B1260" s="1" t="str">
        <f>"9781118006726"</f>
        <v>9781118006726</v>
      </c>
      <c r="C1260" s="1">
        <v>15</v>
      </c>
      <c r="D1260" s="1" t="str">
        <f t="shared" si="33"/>
        <v>USD</v>
      </c>
      <c r="E1260" s="1" t="str">
        <f>"2011"</f>
        <v>2011</v>
      </c>
      <c r="F1260" s="1" t="str">
        <f>"Fester Kratz"</f>
        <v>Fester Kratz</v>
      </c>
      <c r="G1260" s="1" t="str">
        <f t="shared" si="34"/>
        <v>bookcity</v>
      </c>
    </row>
    <row r="1261" spans="1:7" x14ac:dyDescent="0.2">
      <c r="A1261" s="2" t="str">
        <f>"Calcium Entry Channels in Non-Excitable Cells (Methods in Signal Transduction Series)"</f>
        <v>Calcium Entry Channels in Non-Excitable Cells (Methods in Signal Transduction Series)</v>
      </c>
      <c r="B1261" s="1" t="str">
        <f>"9781498752725"</f>
        <v>9781498752725</v>
      </c>
      <c r="C1261" s="1">
        <v>103.5</v>
      </c>
      <c r="D1261" s="1" t="str">
        <f>"GBP"</f>
        <v>GBP</v>
      </c>
      <c r="E1261" s="1" t="str">
        <f>"2017"</f>
        <v>2017</v>
      </c>
      <c r="F1261" s="1" t="str">
        <f>"Kozak"</f>
        <v>Kozak</v>
      </c>
      <c r="G1261" s="1" t="str">
        <f>"sal"</f>
        <v>sal</v>
      </c>
    </row>
    <row r="1262" spans="1:7" x14ac:dyDescent="0.2">
      <c r="A1262" s="2" t="str">
        <f>"Cerambycidae of the World: Biology and Pest Management (Contemporary Topics in Entomology)"</f>
        <v>Cerambycidae of the World: Biology and Pest Management (Contemporary Topics in Entomology)</v>
      </c>
      <c r="B1262" s="1" t="str">
        <f>"9781482219906"</f>
        <v>9781482219906</v>
      </c>
      <c r="C1262" s="1">
        <v>89.1</v>
      </c>
      <c r="D1262" s="1" t="str">
        <f>"GBP"</f>
        <v>GBP</v>
      </c>
      <c r="E1262" s="1" t="str">
        <f>"2017"</f>
        <v>2017</v>
      </c>
      <c r="F1262" s="1" t="str">
        <f>"Wang"</f>
        <v>Wang</v>
      </c>
      <c r="G1262" s="1" t="str">
        <f>"sal"</f>
        <v>sal</v>
      </c>
    </row>
    <row r="1263" spans="1:7" x14ac:dyDescent="0.2">
      <c r="A1263" s="2" t="str">
        <f>"CERN : How We Found the Higgs Boson"</f>
        <v>CERN : How We Found the Higgs Boson</v>
      </c>
      <c r="B1263" s="1" t="str">
        <f>"9789814623469"</f>
        <v>9789814623469</v>
      </c>
      <c r="C1263" s="1">
        <v>19.2</v>
      </c>
      <c r="D1263" s="1" t="str">
        <f>"GBP"</f>
        <v>GBP</v>
      </c>
      <c r="E1263" s="1" t="str">
        <f>"2014"</f>
        <v>2014</v>
      </c>
      <c r="F1263" s="1" t="str">
        <f>"Michael Krause"</f>
        <v>Michael Krause</v>
      </c>
      <c r="G1263" s="1" t="str">
        <f>"AsarBartar"</f>
        <v>AsarBartar</v>
      </c>
    </row>
    <row r="1264" spans="1:7" x14ac:dyDescent="0.2">
      <c r="A1264" s="2" t="str">
        <f>"CONCISE GUIDE TO: ROSES"</f>
        <v>CONCISE GUIDE TO: ROSES</v>
      </c>
      <c r="B1264" s="1" t="str">
        <f>"9781407530161"</f>
        <v>9781407530161</v>
      </c>
      <c r="C1264" s="1">
        <v>5.5</v>
      </c>
      <c r="D1264" s="1" t="str">
        <f>"USD"</f>
        <v>USD</v>
      </c>
      <c r="E1264" s="1" t="str">
        <f>"2008"</f>
        <v>2008</v>
      </c>
      <c r="F1264" s="1" t="str">
        <f>"Curt,Florence"</f>
        <v>Curt,Florence</v>
      </c>
      <c r="G1264" s="1" t="str">
        <f>"bookcity"</f>
        <v>bookcity</v>
      </c>
    </row>
    <row r="1265" spans="1:7" x14ac:dyDescent="0.2">
      <c r="A1265" s="2" t="str">
        <f>"Daily Gratitude"</f>
        <v>Daily Gratitude</v>
      </c>
      <c r="B1265" s="1" t="str">
        <f>"9781426213793"</f>
        <v>9781426213793</v>
      </c>
      <c r="C1265" s="1">
        <v>10</v>
      </c>
      <c r="D1265" s="1" t="str">
        <f>"USD"</f>
        <v>USD</v>
      </c>
      <c r="E1265" s="1" t="str">
        <f>"2014"</f>
        <v>2014</v>
      </c>
      <c r="F1265" s="1" t="str">
        <f>"National Geographic"</f>
        <v>National Geographic</v>
      </c>
      <c r="G1265" s="1" t="str">
        <f>"bookcity"</f>
        <v>bookcity</v>
      </c>
    </row>
    <row r="1266" spans="1:7" x14ac:dyDescent="0.2">
      <c r="A1266" s="2" t="str">
        <f>"DAILY PEACE: 365 DAYS OF RENEWAL"</f>
        <v>DAILY PEACE: 365 DAYS OF RENEWAL</v>
      </c>
      <c r="B1266" s="1" t="str">
        <f>"9781426215650"</f>
        <v>9781426215650</v>
      </c>
      <c r="C1266" s="1">
        <v>10</v>
      </c>
      <c r="D1266" s="1" t="str">
        <f>"USD"</f>
        <v>USD</v>
      </c>
      <c r="E1266" s="1" t="str">
        <f>"2015"</f>
        <v>2015</v>
      </c>
      <c r="F1266" s="1" t="str">
        <f>"National Geographic"</f>
        <v>National Geographic</v>
      </c>
      <c r="G1266" s="1" t="str">
        <f>"bookcity"</f>
        <v>bookcity</v>
      </c>
    </row>
    <row r="1267" spans="1:7" x14ac:dyDescent="0.2">
      <c r="A1267" s="2" t="str">
        <f>"DIARY 2015"</f>
        <v>DIARY 2015</v>
      </c>
      <c r="B1267" s="1" t="str">
        <f>"9780711236042"</f>
        <v>9780711236042</v>
      </c>
      <c r="C1267" s="1">
        <v>11.5</v>
      </c>
      <c r="D1267" s="1" t="str">
        <f>"USD"</f>
        <v>USD</v>
      </c>
      <c r="E1267" s="1" t="str">
        <f>"2014"</f>
        <v>2014</v>
      </c>
      <c r="F1267" s="1" t="str">
        <f>"Royal Horticultural "</f>
        <v xml:space="preserve">Royal Horticultural </v>
      </c>
      <c r="G1267" s="1" t="str">
        <f>"bookcity"</f>
        <v>bookcity</v>
      </c>
    </row>
    <row r="1268" spans="1:7" x14ac:dyDescent="0.2">
      <c r="A1268" s="2" t="str">
        <f>"Environmental Pollutants and their Bioremediation Approaches"</f>
        <v>Environmental Pollutants and their Bioremediation Approaches</v>
      </c>
      <c r="B1268" s="1" t="str">
        <f>"9781138628892"</f>
        <v>9781138628892</v>
      </c>
      <c r="C1268" s="1">
        <v>139.5</v>
      </c>
      <c r="D1268" s="1" t="str">
        <f>"GBP"</f>
        <v>GBP</v>
      </c>
      <c r="E1268" s="1" t="str">
        <f>"2017"</f>
        <v>2017</v>
      </c>
      <c r="F1268" s="1" t="str">
        <f>"Bharagava"</f>
        <v>Bharagava</v>
      </c>
      <c r="G1268" s="1" t="str">
        <f>"sal"</f>
        <v>sal</v>
      </c>
    </row>
    <row r="1269" spans="1:7" x14ac:dyDescent="0.2">
      <c r="A1269" s="2" t="str">
        <f>"Fetal and Early Postnatal Programming and its Influence on Adult Health (Oxidative Stress and Disease)"</f>
        <v>Fetal and Early Postnatal Programming and its Influence on Adult Health (Oxidative Stress and Disease)</v>
      </c>
      <c r="B1269" s="1" t="str">
        <f>"9781498770644"</f>
        <v>9781498770644</v>
      </c>
      <c r="C1269" s="1">
        <v>117</v>
      </c>
      <c r="D1269" s="1" t="str">
        <f>"GBP"</f>
        <v>GBP</v>
      </c>
      <c r="E1269" s="1" t="str">
        <f>"2017"</f>
        <v>2017</v>
      </c>
      <c r="F1269" s="1" t="str">
        <f>"Patel"</f>
        <v>Patel</v>
      </c>
      <c r="G1269" s="1" t="str">
        <f>"sal"</f>
        <v>sal</v>
      </c>
    </row>
    <row r="1270" spans="1:7" x14ac:dyDescent="0.2">
      <c r="A1270" s="2" t="str">
        <f>"Fish Viruses and Bacteria"</f>
        <v>Fish Viruses and Bacteria</v>
      </c>
      <c r="B1270" s="1" t="str">
        <f>"9781780647784"</f>
        <v>9781780647784</v>
      </c>
      <c r="C1270" s="1">
        <v>78.75</v>
      </c>
      <c r="D1270" s="1" t="str">
        <f>"GBP"</f>
        <v>GBP</v>
      </c>
      <c r="E1270" s="1" t="str">
        <f>"2017"</f>
        <v>2017</v>
      </c>
      <c r="F1270" s="1" t="str">
        <f>"Woo"</f>
        <v>Woo</v>
      </c>
      <c r="G1270" s="1" t="str">
        <f>"jahanadib"</f>
        <v>jahanadib</v>
      </c>
    </row>
    <row r="1271" spans="1:7" x14ac:dyDescent="0.2">
      <c r="A1271" s="2" t="str">
        <f>"Fisheries and Aquaculture"</f>
        <v>Fisheries and Aquaculture</v>
      </c>
      <c r="B1271" s="1" t="str">
        <f>"9789350567364"</f>
        <v>9789350567364</v>
      </c>
      <c r="C1271" s="1">
        <v>22.1</v>
      </c>
      <c r="D1271" s="1" t="str">
        <f>"USD"</f>
        <v>USD</v>
      </c>
      <c r="E1271" s="1" t="str">
        <f>"2015"</f>
        <v>2015</v>
      </c>
      <c r="F1271" s="1" t="str">
        <f>"Shukla"</f>
        <v>Shukla</v>
      </c>
      <c r="G1271" s="1" t="str">
        <f>"jahanadib"</f>
        <v>jahanadib</v>
      </c>
    </row>
    <row r="1272" spans="1:7" x14ac:dyDescent="0.2">
      <c r="A1272" s="2" t="str">
        <f>"Fishery Management"</f>
        <v>Fishery Management</v>
      </c>
      <c r="B1272" s="1" t="str">
        <f>"9789350567890"</f>
        <v>9789350567890</v>
      </c>
      <c r="C1272" s="1">
        <v>17.850000000000001</v>
      </c>
      <c r="D1272" s="1" t="str">
        <f>"USD"</f>
        <v>USD</v>
      </c>
      <c r="E1272" s="1" t="str">
        <f>"2016"</f>
        <v>2016</v>
      </c>
      <c r="F1272" s="1" t="str">
        <f>"Misra"</f>
        <v>Misra</v>
      </c>
      <c r="G1272" s="1" t="str">
        <f>"jahanadib"</f>
        <v>jahanadib</v>
      </c>
    </row>
    <row r="1273" spans="1:7" x14ac:dyDescent="0.2">
      <c r="A1273" s="2" t="str">
        <f>"Fishes: An Introduction to Ichthyology, 5/e"</f>
        <v>Fishes: An Introduction to Ichthyology, 5/e</v>
      </c>
      <c r="B1273" s="1" t="str">
        <f>"9789332556935"</f>
        <v>9789332556935</v>
      </c>
      <c r="C1273" s="1">
        <v>17.850000000000001</v>
      </c>
      <c r="D1273" s="1" t="str">
        <f>"USD"</f>
        <v>USD</v>
      </c>
      <c r="E1273" s="1" t="str">
        <f>"2015"</f>
        <v>2015</v>
      </c>
      <c r="F1273" s="1" t="str">
        <f>"Moyle"</f>
        <v>Moyle</v>
      </c>
      <c r="G1273" s="1" t="str">
        <f>"jahanadib"</f>
        <v>jahanadib</v>
      </c>
    </row>
    <row r="1274" spans="1:7" x14ac:dyDescent="0.2">
      <c r="A1274" s="2" t="str">
        <f>"FLOWER ARRANGING"</f>
        <v>FLOWER ARRANGING</v>
      </c>
      <c r="B1274" s="1" t="str">
        <f>"9781409369738"</f>
        <v>9781409369738</v>
      </c>
      <c r="C1274" s="1">
        <v>4.75</v>
      </c>
      <c r="D1274" s="1" t="str">
        <f>"USD"</f>
        <v>USD</v>
      </c>
      <c r="E1274" s="1" t="str">
        <f>"2014"</f>
        <v>2014</v>
      </c>
      <c r="F1274" s="1" t="str">
        <f>"Babaie,Sussan"</f>
        <v>Babaie,Sussan</v>
      </c>
      <c r="G1274" s="1" t="str">
        <f>"bookcity"</f>
        <v>bookcity</v>
      </c>
    </row>
    <row r="1275" spans="1:7" x14ac:dyDescent="0.2">
      <c r="A1275" s="2" t="str">
        <f>"Flower Book"</f>
        <v>Flower Book</v>
      </c>
      <c r="B1275" s="1" t="str">
        <f>"9780241229699"</f>
        <v>9780241229699</v>
      </c>
      <c r="C1275" s="1">
        <v>41.25</v>
      </c>
      <c r="D1275" s="1" t="str">
        <f>"USD"</f>
        <v>USD</v>
      </c>
      <c r="E1275" s="1" t="str">
        <f>"2017"</f>
        <v>2017</v>
      </c>
      <c r="F1275" s="1" t="str">
        <f>"Rachel Siegfried"</f>
        <v>Rachel Siegfried</v>
      </c>
      <c r="G1275" s="1" t="str">
        <f>"bookcity"</f>
        <v>bookcity</v>
      </c>
    </row>
    <row r="1276" spans="1:7" x14ac:dyDescent="0.2">
      <c r="A1276" s="2" t="str">
        <f>"Fundamentals of Laboratory Animal Science"</f>
        <v>Fundamentals of Laboratory Animal Science</v>
      </c>
      <c r="B1276" s="1" t="str">
        <f>"9781498743518"</f>
        <v>9781498743518</v>
      </c>
      <c r="C1276" s="1">
        <v>62.99</v>
      </c>
      <c r="D1276" s="1" t="str">
        <f>"GBP"</f>
        <v>GBP</v>
      </c>
      <c r="E1276" s="1" t="str">
        <f>"2017"</f>
        <v>2017</v>
      </c>
      <c r="F1276" s="1" t="str">
        <f>"LIU"</f>
        <v>LIU</v>
      </c>
      <c r="G1276" s="1" t="str">
        <f>"sal"</f>
        <v>sal</v>
      </c>
    </row>
    <row r="1277" spans="1:7" x14ac:dyDescent="0.2">
      <c r="A1277" s="2" t="str">
        <f>"Fundamentals of U.S. Health Care: An Introduction for Health Professionals"</f>
        <v>Fundamentals of U.S. Health Care: An Introduction for Health Professionals</v>
      </c>
      <c r="B1277" s="1" t="str">
        <f>"9781138659223"</f>
        <v>9781138659223</v>
      </c>
      <c r="C1277" s="1">
        <v>50.39</v>
      </c>
      <c r="D1277" s="1" t="str">
        <f>"GBP"</f>
        <v>GBP</v>
      </c>
      <c r="E1277" s="1" t="str">
        <f>"2017"</f>
        <v>2017</v>
      </c>
      <c r="F1277" s="1" t="str">
        <f>"MOINI"</f>
        <v>MOINI</v>
      </c>
      <c r="G1277" s="1" t="str">
        <f>"sal"</f>
        <v>sal</v>
      </c>
    </row>
    <row r="1278" spans="1:7" x14ac:dyDescent="0.2">
      <c r="A1278" s="2" t="str">
        <f>"Garden Of Cosmic Speculation"</f>
        <v>Garden Of Cosmic Speculation</v>
      </c>
      <c r="B1278" s="1" t="str">
        <f>"9780711225381"</f>
        <v>9780711225381</v>
      </c>
      <c r="C1278" s="1">
        <v>13.23</v>
      </c>
      <c r="D1278" s="1" t="str">
        <f>"GBP"</f>
        <v>GBP</v>
      </c>
      <c r="E1278" s="1" t="str">
        <f>"2005"</f>
        <v>2005</v>
      </c>
      <c r="F1278" s="1" t="str">
        <f>"Charles Jencks"</f>
        <v>Charles Jencks</v>
      </c>
      <c r="G1278" s="1" t="str">
        <f t="shared" ref="G1278:G1284" si="35">"bookcity"</f>
        <v>bookcity</v>
      </c>
    </row>
    <row r="1279" spans="1:7" x14ac:dyDescent="0.2">
      <c r="A1279" s="2" t="str">
        <f>"gardening"</f>
        <v>gardening</v>
      </c>
      <c r="B1279" s="1" t="str">
        <f>"9780470018439"</f>
        <v>9780470018439</v>
      </c>
      <c r="C1279" s="1">
        <v>18.75</v>
      </c>
      <c r="D1279" s="1" t="str">
        <f>"USD"</f>
        <v>USD</v>
      </c>
      <c r="E1279" s="1" t="str">
        <f>"2006"</f>
        <v>2006</v>
      </c>
      <c r="F1279" s="1" t="str">
        <f>"sue fisher"</f>
        <v>sue fisher</v>
      </c>
      <c r="G1279" s="1" t="str">
        <f t="shared" si="35"/>
        <v>bookcity</v>
      </c>
    </row>
    <row r="1280" spans="1:7" x14ac:dyDescent="0.2">
      <c r="A1280" s="2" t="str">
        <f>"Gardening with Tulips"</f>
        <v>Gardening with Tulips</v>
      </c>
      <c r="B1280" s="1" t="str">
        <f>"9780711225398"</f>
        <v>9780711225398</v>
      </c>
      <c r="C1280" s="1">
        <v>13.75</v>
      </c>
      <c r="D1280" s="1" t="str">
        <f>"USD"</f>
        <v>USD</v>
      </c>
      <c r="E1280" s="1" t="str">
        <f>"2005"</f>
        <v>2005</v>
      </c>
      <c r="F1280" s="1" t="str">
        <f>"Michael King"</f>
        <v>Michael King</v>
      </c>
      <c r="G1280" s="1" t="str">
        <f t="shared" si="35"/>
        <v>bookcity</v>
      </c>
    </row>
    <row r="1281" spans="1:7" x14ac:dyDescent="0.2">
      <c r="A1281" s="2" t="str">
        <f>"Gardens of Beauty"</f>
        <v>Gardens of Beauty</v>
      </c>
      <c r="B1281" s="1" t="str">
        <f>"9788891810229"</f>
        <v>9788891810229</v>
      </c>
      <c r="C1281" s="1">
        <v>29.25</v>
      </c>
      <c r="D1281" s="1" t="str">
        <f>"GBP"</f>
        <v>GBP</v>
      </c>
      <c r="E1281" s="1" t="str">
        <f>"2017"</f>
        <v>2017</v>
      </c>
      <c r="F1281" s="1" t="str">
        <f>"Paolo Pejrone"</f>
        <v>Paolo Pejrone</v>
      </c>
      <c r="G1281" s="1" t="str">
        <f t="shared" si="35"/>
        <v>bookcity</v>
      </c>
    </row>
    <row r="1282" spans="1:7" x14ac:dyDescent="0.2">
      <c r="A1282" s="2" t="str">
        <f>"GARDENS PRIVATE &amp; PERSONAL                         "</f>
        <v xml:space="preserve">GARDENS PRIVATE &amp; PERSONAL                         </v>
      </c>
      <c r="B1282" s="1" t="str">
        <f>"9780810972803"</f>
        <v>9780810972803</v>
      </c>
      <c r="C1282" s="1">
        <v>54</v>
      </c>
      <c r="D1282" s="1" t="str">
        <f>"USD"</f>
        <v>USD</v>
      </c>
      <c r="E1282" s="1" t="str">
        <f>"2008"</f>
        <v>2008</v>
      </c>
      <c r="F1282" s="1" t="str">
        <f>"Nancy D'Oench"</f>
        <v>Nancy D'Oench</v>
      </c>
      <c r="G1282" s="1" t="str">
        <f t="shared" si="35"/>
        <v>bookcity</v>
      </c>
    </row>
    <row r="1283" spans="1:7" x14ac:dyDescent="0.2">
      <c r="A1283" s="2" t="str">
        <f>"Genetics in Minutes                                "</f>
        <v xml:space="preserve">Genetics in Minutes                                </v>
      </c>
      <c r="B1283" s="1" t="str">
        <f>"9781681443331"</f>
        <v>9781681443331</v>
      </c>
      <c r="C1283" s="1">
        <v>11.69</v>
      </c>
      <c r="D1283" s="1" t="str">
        <f>"USD"</f>
        <v>USD</v>
      </c>
      <c r="E1283" s="1" t="str">
        <f>"2016"</f>
        <v>2016</v>
      </c>
      <c r="F1283" s="1" t="str">
        <f>"Tom Jackson"</f>
        <v>Tom Jackson</v>
      </c>
      <c r="G1283" s="1" t="str">
        <f t="shared" si="35"/>
        <v>bookcity</v>
      </c>
    </row>
    <row r="1284" spans="1:7" x14ac:dyDescent="0.2">
      <c r="A1284" s="2" t="str">
        <f>"GUINNESS WORL RECORDS 2018"</f>
        <v>GUINNESS WORL RECORDS 2018</v>
      </c>
      <c r="B1284" s="1" t="str">
        <f>"9781910561713"</f>
        <v>9781910561713</v>
      </c>
      <c r="C1284" s="1">
        <v>18</v>
      </c>
      <c r="D1284" s="1" t="str">
        <f>"GBP"</f>
        <v>GBP</v>
      </c>
      <c r="E1284" s="1" t="str">
        <f>"2017"</f>
        <v>2017</v>
      </c>
      <c r="F1284" s="1" t="str">
        <f>"Guinness World Recor"</f>
        <v>Guinness World Recor</v>
      </c>
      <c r="G1284" s="1" t="str">
        <f t="shared" si="35"/>
        <v>bookcity</v>
      </c>
    </row>
    <row r="1285" spans="1:7" x14ac:dyDescent="0.2">
      <c r="A1285" s="2" t="str">
        <f>"Handbook of Metal-Microbe Interactions and Bioremediation"</f>
        <v>Handbook of Metal-Microbe Interactions and Bioremediation</v>
      </c>
      <c r="B1285" s="1" t="str">
        <f>"9781498762427"</f>
        <v>9781498762427</v>
      </c>
      <c r="C1285" s="1">
        <v>171.9</v>
      </c>
      <c r="D1285" s="1" t="str">
        <f>"GBP"</f>
        <v>GBP</v>
      </c>
      <c r="E1285" s="1" t="str">
        <f>"2017"</f>
        <v>2017</v>
      </c>
      <c r="F1285" s="1" t="str">
        <f>"DAS"</f>
        <v>DAS</v>
      </c>
      <c r="G1285" s="1" t="str">
        <f>"sal"</f>
        <v>sal</v>
      </c>
    </row>
    <row r="1286" spans="1:7" x14ac:dyDescent="0.2">
      <c r="A1286" s="2" t="str">
        <f>"Hostas"</f>
        <v>Hostas</v>
      </c>
      <c r="B1286" s="1" t="str">
        <f>"9781552978863"</f>
        <v>9781552978863</v>
      </c>
      <c r="C1286" s="1">
        <v>8.75</v>
      </c>
      <c r="D1286" s="1" t="str">
        <f>"USD"</f>
        <v>USD</v>
      </c>
      <c r="E1286" s="1" t="str">
        <f>"2005"</f>
        <v>2005</v>
      </c>
      <c r="F1286" s="1" t="str">
        <f>"Rosemary Barrett"</f>
        <v>Rosemary Barrett</v>
      </c>
      <c r="G1286" s="1" t="str">
        <f t="shared" ref="G1286:G1291" si="36">"bookcity"</f>
        <v>bookcity</v>
      </c>
    </row>
    <row r="1287" spans="1:7" x14ac:dyDescent="0.2">
      <c r="A1287" s="2" t="str">
        <f>"How Not to Kill Your Houseplant"</f>
        <v>How Not to Kill Your Houseplant</v>
      </c>
      <c r="B1287" s="1" t="str">
        <f>"9780241302170"</f>
        <v>9780241302170</v>
      </c>
      <c r="C1287" s="1">
        <v>8.99</v>
      </c>
      <c r="D1287" s="1" t="str">
        <f>"GBP"</f>
        <v>GBP</v>
      </c>
      <c r="E1287" s="1" t="str">
        <f>"2017"</f>
        <v>2017</v>
      </c>
      <c r="F1287" s="1" t="str">
        <f>"Charles Dickens"</f>
        <v>Charles Dickens</v>
      </c>
      <c r="G1287" s="1" t="str">
        <f t="shared" si="36"/>
        <v>bookcity</v>
      </c>
    </row>
    <row r="1288" spans="1:7" x14ac:dyDescent="0.2">
      <c r="A1288" s="2" t="str">
        <f>"How Science Works"</f>
        <v>How Science Works</v>
      </c>
      <c r="B1288" s="1" t="str">
        <f>"9780241287279"</f>
        <v>9780241287279</v>
      </c>
      <c r="C1288" s="1">
        <v>15.29</v>
      </c>
      <c r="D1288" s="1" t="str">
        <f>"GBP"</f>
        <v>GBP</v>
      </c>
      <c r="E1288" s="1" t="str">
        <f>"2018"</f>
        <v>2018</v>
      </c>
      <c r="F1288" s="1" t="str">
        <f>"DK"</f>
        <v>DK</v>
      </c>
      <c r="G1288" s="1" t="str">
        <f t="shared" si="36"/>
        <v>bookcity</v>
      </c>
    </row>
    <row r="1289" spans="1:7" x14ac:dyDescent="0.2">
      <c r="A1289" s="2" t="str">
        <f>"How to Make a Nation: A Monocle Guide"</f>
        <v>How to Make a Nation: A Monocle Guide</v>
      </c>
      <c r="B1289" s="1" t="str">
        <f>"9783899556483"</f>
        <v>9783899556483</v>
      </c>
      <c r="C1289" s="1">
        <v>47.25</v>
      </c>
      <c r="D1289" s="1" t="str">
        <f>"USD"</f>
        <v>USD</v>
      </c>
      <c r="E1289" s="1" t="str">
        <f>"2016"</f>
        <v>2016</v>
      </c>
      <c r="F1289" s="1" t="str">
        <f>"Monocle"</f>
        <v>Monocle</v>
      </c>
      <c r="G1289" s="1" t="str">
        <f t="shared" si="36"/>
        <v>bookcity</v>
      </c>
    </row>
    <row r="1290" spans="1:7" x14ac:dyDescent="0.2">
      <c r="A1290" s="2" t="str">
        <f>"ILLUS PRAC GDE TO WILDLIFE GARDENING"</f>
        <v>ILLUS PRAC GDE TO WILDLIFE GARDENING</v>
      </c>
      <c r="B1290" s="1" t="str">
        <f>"9781846811487"</f>
        <v>9781846811487</v>
      </c>
      <c r="C1290" s="1">
        <v>9.5</v>
      </c>
      <c r="D1290" s="1" t="str">
        <f>"USD"</f>
        <v>USD</v>
      </c>
      <c r="E1290" s="1" t="str">
        <f>"2007"</f>
        <v>2007</v>
      </c>
      <c r="F1290" s="1" t="str">
        <f>"Â Khaled Hosseini"</f>
        <v>Â Khaled Hosseini</v>
      </c>
      <c r="G1290" s="1" t="str">
        <f t="shared" si="36"/>
        <v>bookcity</v>
      </c>
    </row>
    <row r="1291" spans="1:7" x14ac:dyDescent="0.2">
      <c r="A1291" s="2" t="str">
        <f>"Illustrated Encyclopedia of Trees of the Americas"</f>
        <v>Illustrated Encyclopedia of Trees of the Americas</v>
      </c>
      <c r="B1291" s="1" t="str">
        <f>"9780754815297"</f>
        <v>9780754815297</v>
      </c>
      <c r="C1291" s="1">
        <v>12</v>
      </c>
      <c r="D1291" s="1" t="str">
        <f>"USD"</f>
        <v>USD</v>
      </c>
      <c r="E1291" s="1" t="str">
        <f>"2005"</f>
        <v>2005</v>
      </c>
      <c r="F1291" s="1" t="str">
        <f>"Tony Russell"</f>
        <v>Tony Russell</v>
      </c>
      <c r="G1291" s="1" t="str">
        <f t="shared" si="36"/>
        <v>bookcity</v>
      </c>
    </row>
    <row r="1292" spans="1:7" x14ac:dyDescent="0.2">
      <c r="A1292" s="2" t="str">
        <f>"Improving Seed Conditioning"</f>
        <v>Improving Seed Conditioning</v>
      </c>
      <c r="B1292" s="1" t="str">
        <f>"9781138032545"</f>
        <v>9781138032545</v>
      </c>
      <c r="C1292" s="1">
        <v>57.59</v>
      </c>
      <c r="D1292" s="1" t="str">
        <f>"GBP"</f>
        <v>GBP</v>
      </c>
      <c r="E1292" s="1" t="str">
        <f>"2017"</f>
        <v>2017</v>
      </c>
      <c r="F1292" s="1" t="str">
        <f>"GREGG"</f>
        <v>GREGG</v>
      </c>
      <c r="G1292" s="1" t="str">
        <f>"sal"</f>
        <v>sal</v>
      </c>
    </row>
    <row r="1293" spans="1:7" x14ac:dyDescent="0.2">
      <c r="A1293" s="2" t="str">
        <f>"Indoor Edible Garden"</f>
        <v>Indoor Edible Garden</v>
      </c>
      <c r="B1293" s="1" t="str">
        <f>"9780241248973"</f>
        <v>9780241248973</v>
      </c>
      <c r="C1293" s="1">
        <v>24.75</v>
      </c>
      <c r="D1293" s="1" t="str">
        <f>"USD"</f>
        <v>USD</v>
      </c>
      <c r="E1293" s="1" t="str">
        <f>"2017"</f>
        <v>2017</v>
      </c>
      <c r="F1293" s="1" t="str">
        <f>"Zia Allaway"</f>
        <v>Zia Allaway</v>
      </c>
      <c r="G1293" s="1" t="str">
        <f>"bookcity"</f>
        <v>bookcity</v>
      </c>
    </row>
    <row r="1294" spans="1:7" x14ac:dyDescent="0.2">
      <c r="A1294" s="2" t="str">
        <f>"Indoor Green: Living with Plants"</f>
        <v>Indoor Green: Living with Plants</v>
      </c>
      <c r="B1294" s="1" t="str">
        <f>"9780500501061"</f>
        <v>9780500501061</v>
      </c>
      <c r="C1294" s="1">
        <v>17.05</v>
      </c>
      <c r="D1294" s="1" t="str">
        <f>"GBP"</f>
        <v>GBP</v>
      </c>
      <c r="E1294" s="1" t="str">
        <f>"2017"</f>
        <v>2017</v>
      </c>
      <c r="F1294" s="1" t="str">
        <f>"Mr Kitly's Bree Claf"</f>
        <v>Mr Kitly's Bree Claf</v>
      </c>
      <c r="G1294" s="1" t="str">
        <f>"bookcity"</f>
        <v>bookcity</v>
      </c>
    </row>
    <row r="1295" spans="1:7" x14ac:dyDescent="0.2">
      <c r="A1295" s="2" t="str">
        <f>"knowledge encyclopedia DINOSAUR"</f>
        <v>knowledge encyclopedia DINOSAUR</v>
      </c>
      <c r="B1295" s="1" t="str">
        <f>"9781409354673"</f>
        <v>9781409354673</v>
      </c>
      <c r="C1295" s="1">
        <v>17.09</v>
      </c>
      <c r="D1295" s="1" t="str">
        <f>"GBP"</f>
        <v>GBP</v>
      </c>
      <c r="E1295" s="1" t="str">
        <f>"2014"</f>
        <v>2014</v>
      </c>
      <c r="F1295" s="1" t="str">
        <f>"DK"</f>
        <v>DK</v>
      </c>
      <c r="G1295" s="1" t="str">
        <f>"bookcity"</f>
        <v>bookcity</v>
      </c>
    </row>
    <row r="1296" spans="1:7" x14ac:dyDescent="0.2">
      <c r="A1296" s="2" t="str">
        <f>"Lexicon of Balcony &amp; Patio Plants"</f>
        <v>Lexicon of Balcony &amp; Patio Plants</v>
      </c>
      <c r="B1296" s="1" t="str">
        <f>"9789036621649"</f>
        <v>9789036621649</v>
      </c>
      <c r="C1296" s="1">
        <v>8</v>
      </c>
      <c r="D1296" s="1" t="str">
        <f>"USD"</f>
        <v>USD</v>
      </c>
      <c r="E1296" s="1" t="str">
        <f>"2013"</f>
        <v>2013</v>
      </c>
      <c r="F1296" s="1" t="str">
        <f>"Antoine Rees,William"</f>
        <v>Antoine Rees,William</v>
      </c>
      <c r="G1296" s="1" t="str">
        <f>"bookcity"</f>
        <v>bookcity</v>
      </c>
    </row>
    <row r="1297" spans="1:7" x14ac:dyDescent="0.2">
      <c r="A1297" s="2" t="str">
        <f>"Lexicon of Romantic Gardens"</f>
        <v>Lexicon of Romantic Gardens</v>
      </c>
      <c r="B1297" s="1" t="str">
        <f>"9789036621588"</f>
        <v>9789036621588</v>
      </c>
      <c r="C1297" s="1">
        <v>8</v>
      </c>
      <c r="D1297" s="1" t="str">
        <f>"USD"</f>
        <v>USD</v>
      </c>
      <c r="E1297" s="1" t="str">
        <f>"2013"</f>
        <v>2013</v>
      </c>
      <c r="F1297" s="1" t="str">
        <f>"Antonietta Crippa,Ma"</f>
        <v>Antonietta Crippa,Ma</v>
      </c>
      <c r="G1297" s="1" t="str">
        <f>"bookcity"</f>
        <v>bookcity</v>
      </c>
    </row>
    <row r="1298" spans="1:7" x14ac:dyDescent="0.2">
      <c r="A1298" s="2" t="str">
        <f>"Living Shorelines: The Science and Management of Nature-Based Coastal Protection (CRC Marine Science)"</f>
        <v>Living Shorelines: The Science and Management of Nature-Based Coastal Protection (CRC Marine Science)</v>
      </c>
      <c r="B1298" s="1" t="str">
        <f>"9781498740029"</f>
        <v>9781498740029</v>
      </c>
      <c r="C1298" s="1">
        <v>57.59</v>
      </c>
      <c r="D1298" s="1" t="str">
        <f>"GBP"</f>
        <v>GBP</v>
      </c>
      <c r="E1298" s="1" t="str">
        <f>"2017"</f>
        <v>2017</v>
      </c>
      <c r="F1298" s="1" t="str">
        <f>"Bilkovic"</f>
        <v>Bilkovic</v>
      </c>
      <c r="G1298" s="1" t="str">
        <f>"sal"</f>
        <v>sal</v>
      </c>
    </row>
    <row r="1299" spans="1:7" x14ac:dyDescent="0.2">
      <c r="A1299" s="2" t="str">
        <f>"Maples"</f>
        <v>Maples</v>
      </c>
      <c r="B1299" s="1" t="str">
        <f>"9781552978849"</f>
        <v>9781552978849</v>
      </c>
      <c r="C1299" s="1">
        <v>7.5</v>
      </c>
      <c r="D1299" s="1" t="str">
        <f>"USD"</f>
        <v>USD</v>
      </c>
      <c r="E1299" s="1" t="str">
        <f>"2004"</f>
        <v>2004</v>
      </c>
      <c r="F1299" s="1" t="str">
        <f>"Rosemary Barrett"</f>
        <v>Rosemary Barrett</v>
      </c>
      <c r="G1299" s="1" t="str">
        <f>"bookcity"</f>
        <v>bookcity</v>
      </c>
    </row>
    <row r="1300" spans="1:7" x14ac:dyDescent="0.2">
      <c r="A1300" s="2" t="str">
        <f>"Microbial Biofilms: Omics Biology, Antimicrobials and Clinical Implications"</f>
        <v>Microbial Biofilms: Omics Biology, Antimicrobials and Clinical Implications</v>
      </c>
      <c r="B1300" s="1" t="str">
        <f>"9781498722193"</f>
        <v>9781498722193</v>
      </c>
      <c r="C1300" s="1">
        <v>103.5</v>
      </c>
      <c r="D1300" s="1" t="str">
        <f>"GBP"</f>
        <v>GBP</v>
      </c>
      <c r="E1300" s="1" t="str">
        <f>"2017"</f>
        <v>2017</v>
      </c>
      <c r="F1300" s="1" t="str">
        <f>"Seneviratne"</f>
        <v>Seneviratne</v>
      </c>
      <c r="G1300" s="1" t="str">
        <f>"sal"</f>
        <v>sal</v>
      </c>
    </row>
    <row r="1301" spans="1:7" x14ac:dyDescent="0.2">
      <c r="A1301" s="2" t="str">
        <f>"Military Injury Biomechanics: The Cause and Prevention of Impact Injuries"</f>
        <v>Military Injury Biomechanics: The Cause and Prevention of Impact Injuries</v>
      </c>
      <c r="B1301" s="1" t="str">
        <f>"9781498742825"</f>
        <v>9781498742825</v>
      </c>
      <c r="C1301" s="1">
        <v>117</v>
      </c>
      <c r="D1301" s="1" t="str">
        <f>"GBP"</f>
        <v>GBP</v>
      </c>
      <c r="E1301" s="1" t="str">
        <f>"2017"</f>
        <v>2017</v>
      </c>
      <c r="F1301" s="1" t="str">
        <f>"Franklyn"</f>
        <v>Franklyn</v>
      </c>
      <c r="G1301" s="1" t="str">
        <f>"sal"</f>
        <v>sal</v>
      </c>
    </row>
    <row r="1302" spans="1:7" x14ac:dyDescent="0.2">
      <c r="A1302" s="2" t="str">
        <f>"MODELLING, FORECASTING, ARTIFICIAL NEURAL NETWORK AND EXPERT SYSTEM IN FISHERIES AND AQUACULTURE, HB"</f>
        <v>MODELLING, FORECASTING, ARTIFICIAL NEURAL NETWORK AND EXPERT SYSTEM IN FISHERIES AND AQUACULTURE, HB</v>
      </c>
      <c r="B1302" s="1" t="str">
        <f>"9788170355717"</f>
        <v>9788170355717</v>
      </c>
      <c r="C1302" s="1">
        <v>22.47</v>
      </c>
      <c r="D1302" s="1" t="str">
        <f>"USD"</f>
        <v>USD</v>
      </c>
      <c r="E1302" s="1" t="str">
        <f>"2009"</f>
        <v>2009</v>
      </c>
      <c r="F1302" s="1" t="str">
        <f>"Roy"</f>
        <v>Roy</v>
      </c>
      <c r="G1302" s="1" t="str">
        <f>"supply"</f>
        <v>supply</v>
      </c>
    </row>
    <row r="1303" spans="1:7" x14ac:dyDescent="0.2">
      <c r="A1303" s="2" t="str">
        <f>"MONTANAS - EVERYONES CLEMATIS        CB"</f>
        <v>MONTANAS - EVERYONES CLEMATIS        CB</v>
      </c>
      <c r="B1303" s="1" t="str">
        <f>"9781870673518"</f>
        <v>9781870673518</v>
      </c>
      <c r="C1303" s="1">
        <v>4.75</v>
      </c>
      <c r="D1303" s="1" t="str">
        <f>"USD"</f>
        <v>USD</v>
      </c>
      <c r="E1303" s="1" t="str">
        <f>"2005"</f>
        <v>2005</v>
      </c>
      <c r="F1303" s="1" t="str">
        <f>"Howells,john"</f>
        <v>Howells,john</v>
      </c>
      <c r="G1303" s="1" t="str">
        <f>"bookcity"</f>
        <v>bookcity</v>
      </c>
    </row>
    <row r="1304" spans="1:7" x14ac:dyDescent="0.2">
      <c r="A1304" s="2" t="str">
        <f>"Neurophotonics and Brain Mapping"</f>
        <v>Neurophotonics and Brain Mapping</v>
      </c>
      <c r="B1304" s="1" t="str">
        <f>"9781482236859"</f>
        <v>9781482236859</v>
      </c>
      <c r="C1304" s="1">
        <v>108.9</v>
      </c>
      <c r="D1304" s="1" t="str">
        <f>"GBP"</f>
        <v>GBP</v>
      </c>
      <c r="E1304" s="1" t="str">
        <f>"2017"</f>
        <v>2017</v>
      </c>
      <c r="F1304" s="1" t="str">
        <f>"Chen"</f>
        <v>Chen</v>
      </c>
      <c r="G1304" s="1" t="str">
        <f>"sal"</f>
        <v>sal</v>
      </c>
    </row>
    <row r="1305" spans="1:7" x14ac:dyDescent="0.2">
      <c r="A1305" s="2" t="str">
        <f>"Nonclinical Drug Administration: Formulations, Routes and Regimens for Solving Drug Delivery Problems in Animal Model Systems"</f>
        <v>Nonclinical Drug Administration: Formulations, Routes and Regimens for Solving Drug Delivery Problems in Animal Model Systems</v>
      </c>
      <c r="B1305" s="1" t="str">
        <f>"9781466502536"</f>
        <v>9781466502536</v>
      </c>
      <c r="C1305" s="1">
        <v>97.2</v>
      </c>
      <c r="D1305" s="1" t="str">
        <f>"GBP"</f>
        <v>GBP</v>
      </c>
      <c r="E1305" s="1" t="str">
        <f>"2017"</f>
        <v>2017</v>
      </c>
      <c r="F1305" s="1" t="str">
        <f>"GAD"</f>
        <v>GAD</v>
      </c>
      <c r="G1305" s="1" t="str">
        <f>"sal"</f>
        <v>sal</v>
      </c>
    </row>
    <row r="1306" spans="1:7" x14ac:dyDescent="0.2">
      <c r="A1306" s="2" t="str">
        <f>"Oil Palm Breeding: Genetics and Genomics"</f>
        <v>Oil Palm Breeding: Genetics and Genomics</v>
      </c>
      <c r="B1306" s="1" t="str">
        <f>"9781498715447"</f>
        <v>9781498715447</v>
      </c>
      <c r="C1306" s="1">
        <v>130.5</v>
      </c>
      <c r="D1306" s="1" t="str">
        <f>"GBP"</f>
        <v>GBP</v>
      </c>
      <c r="E1306" s="1" t="str">
        <f>"2017"</f>
        <v>2017</v>
      </c>
      <c r="F1306" s="1" t="str">
        <f>"Soh"</f>
        <v>Soh</v>
      </c>
      <c r="G1306" s="1" t="str">
        <f>"sal"</f>
        <v>sal</v>
      </c>
    </row>
    <row r="1307" spans="1:7" x14ac:dyDescent="0.2">
      <c r="A1307" s="2" t="str">
        <f>"ORCHID"</f>
        <v>ORCHID</v>
      </c>
      <c r="B1307" s="1" t="str">
        <f>"9789058562524"</f>
        <v>9789058562524</v>
      </c>
      <c r="C1307" s="1">
        <v>18.75</v>
      </c>
      <c r="D1307" s="1" t="str">
        <f>"USD"</f>
        <v>USD</v>
      </c>
      <c r="E1307" s="1" t="str">
        <f>"2008"</f>
        <v>2008</v>
      </c>
      <c r="F1307" s="1" t="str">
        <f>"Ronse,Anne"</f>
        <v>Ronse,Anne</v>
      </c>
      <c r="G1307" s="1" t="str">
        <f t="shared" ref="G1307:G1313" si="37">"bookcity"</f>
        <v>bookcity</v>
      </c>
    </row>
    <row r="1308" spans="1:7" x14ac:dyDescent="0.2">
      <c r="A1308" s="2" t="str">
        <f>"ORCHIDS"</f>
        <v>ORCHIDS</v>
      </c>
      <c r="B1308" s="1" t="str">
        <f>"9780762424566"</f>
        <v>9780762424566</v>
      </c>
      <c r="C1308" s="1">
        <v>6.25</v>
      </c>
      <c r="D1308" s="1" t="str">
        <f>"USD"</f>
        <v>USD</v>
      </c>
      <c r="E1308" s="1" t="str">
        <f>"2005"</f>
        <v>2005</v>
      </c>
      <c r="F1308" s="1" t="str">
        <f>"Curtis,Bruce"</f>
        <v>Curtis,Bruce</v>
      </c>
      <c r="G1308" s="1" t="str">
        <f t="shared" si="37"/>
        <v>bookcity</v>
      </c>
    </row>
    <row r="1309" spans="1:7" x14ac:dyDescent="0.2">
      <c r="A1309" s="2" t="str">
        <f>"OUR WORLD TRANSFORMED (READERS DIGEST)"</f>
        <v>OUR WORLD TRANSFORMED (READERS DIGEST)</v>
      </c>
      <c r="B1309" s="1" t="str">
        <f>"9780276443855"</f>
        <v>9780276443855</v>
      </c>
      <c r="C1309" s="1">
        <v>20</v>
      </c>
      <c r="D1309" s="1" t="str">
        <f>"USD"</f>
        <v>USD</v>
      </c>
      <c r="E1309" s="1" t="str">
        <f>"2008"</f>
        <v>2008</v>
      </c>
      <c r="F1309" s="1" t="str">
        <f>"Reader's Digest"</f>
        <v>Reader's Digest</v>
      </c>
      <c r="G1309" s="1" t="str">
        <f t="shared" si="37"/>
        <v>bookcity</v>
      </c>
    </row>
    <row r="1310" spans="1:7" x14ac:dyDescent="0.2">
      <c r="A1310" s="2" t="str">
        <f>"Pavilions and Gardens of Venice Biennale"</f>
        <v>Pavilions and Gardens of Venice Biennale</v>
      </c>
      <c r="B1310" s="1" t="str">
        <f>"9788869654404"</f>
        <v>9788869654404</v>
      </c>
      <c r="C1310" s="1">
        <v>31.5</v>
      </c>
      <c r="D1310" s="1" t="str">
        <f>"GBP"</f>
        <v>GBP</v>
      </c>
      <c r="E1310" s="1" t="str">
        <f>"2013"</f>
        <v>2013</v>
      </c>
      <c r="F1310" s="1" t="str">
        <f>"Adele Re Rebaudengo"</f>
        <v>Adele Re Rebaudengo</v>
      </c>
      <c r="G1310" s="1" t="str">
        <f t="shared" si="37"/>
        <v>bookcity</v>
      </c>
    </row>
    <row r="1311" spans="1:7" x14ac:dyDescent="0.2">
      <c r="A1311" s="2" t="str">
        <f>"Philip's Guide to  Mushrooms &amp; Toadstools of Britain &amp; Northern Europe"</f>
        <v>Philip's Guide to  Mushrooms &amp; Toadstools of Britain &amp; Northern Europe</v>
      </c>
      <c r="B1311" s="1" t="str">
        <f>"9781849073318"</f>
        <v>9781849073318</v>
      </c>
      <c r="C1311" s="1">
        <v>8.75</v>
      </c>
      <c r="D1311" s="1" t="str">
        <f>"USD"</f>
        <v>USD</v>
      </c>
      <c r="E1311" s="1" t="str">
        <f>"2015"</f>
        <v>2015</v>
      </c>
      <c r="F1311" s="1" t="str">
        <f>"Geoffrey Kibby"</f>
        <v>Geoffrey Kibby</v>
      </c>
      <c r="G1311" s="1" t="str">
        <f t="shared" si="37"/>
        <v>bookcity</v>
      </c>
    </row>
    <row r="1312" spans="1:7" x14ac:dyDescent="0.2">
      <c r="A1312" s="2" t="str">
        <f>"PICTUTEPEDIA"</f>
        <v>PICTUTEPEDIA</v>
      </c>
      <c r="B1312" s="1" t="str">
        <f>"9780241186985"</f>
        <v>9780241186985</v>
      </c>
      <c r="C1312" s="1">
        <v>18</v>
      </c>
      <c r="D1312" s="1" t="str">
        <f>"GBP"</f>
        <v>GBP</v>
      </c>
      <c r="E1312" s="1" t="str">
        <f>"2015"</f>
        <v>2015</v>
      </c>
      <c r="F1312" s="1" t="str">
        <f>"DK"</f>
        <v>DK</v>
      </c>
      <c r="G1312" s="1" t="str">
        <f t="shared" si="37"/>
        <v>bookcity</v>
      </c>
    </row>
    <row r="1313" spans="1:7" x14ac:dyDescent="0.2">
      <c r="A1313" s="2" t="str">
        <f>"Prick: Cacti and Succulents: Choosing, Styling, Caring"</f>
        <v>Prick: Cacti and Succulents: Choosing, Styling, Caring</v>
      </c>
      <c r="B1313" s="1" t="str">
        <f>"9781784723675"</f>
        <v>9781784723675</v>
      </c>
      <c r="C1313" s="1">
        <v>13.5</v>
      </c>
      <c r="D1313" s="1" t="str">
        <f>"GBP"</f>
        <v>GBP</v>
      </c>
      <c r="E1313" s="1" t="str">
        <f>"2017"</f>
        <v>2017</v>
      </c>
      <c r="F1313" s="1" t="str">
        <f>"Gynelle Leon"</f>
        <v>Gynelle Leon</v>
      </c>
      <c r="G1313" s="1" t="str">
        <f t="shared" si="37"/>
        <v>bookcity</v>
      </c>
    </row>
    <row r="1314" spans="1:7" x14ac:dyDescent="0.2">
      <c r="A1314" s="2" t="str">
        <f>"Principles of Animal Nutrition"</f>
        <v>Principles of Animal Nutrition</v>
      </c>
      <c r="B1314" s="1" t="str">
        <f>"9781498721608"</f>
        <v>9781498721608</v>
      </c>
      <c r="C1314" s="1">
        <v>69.3</v>
      </c>
      <c r="D1314" s="1" t="str">
        <f>"GBP"</f>
        <v>GBP</v>
      </c>
      <c r="E1314" s="1" t="str">
        <f>"2017"</f>
        <v>2017</v>
      </c>
      <c r="F1314" s="1" t="str">
        <f>"Wu"</f>
        <v>Wu</v>
      </c>
      <c r="G1314" s="1" t="str">
        <f>"sal"</f>
        <v>sal</v>
      </c>
    </row>
    <row r="1315" spans="1:7" x14ac:dyDescent="0.2">
      <c r="A1315" s="2" t="str">
        <f>"Principles of Animal Taxonomy"</f>
        <v>Principles of Animal Taxonomy</v>
      </c>
      <c r="B1315" s="1" t="str">
        <f>"9781842659441"</f>
        <v>9781842659441</v>
      </c>
      <c r="C1315" s="1">
        <v>29.75</v>
      </c>
      <c r="D1315" s="1" t="str">
        <f>"GBP"</f>
        <v>GBP</v>
      </c>
      <c r="E1315" s="1" t="str">
        <f>"2015"</f>
        <v>2015</v>
      </c>
      <c r="F1315" s="1" t="str">
        <f>"Verma"</f>
        <v>Verma</v>
      </c>
      <c r="G1315" s="1" t="str">
        <f>"jahanadib"</f>
        <v>jahanadib</v>
      </c>
    </row>
    <row r="1316" spans="1:7" x14ac:dyDescent="0.2">
      <c r="A1316" s="2" t="s">
        <v>11</v>
      </c>
    </row>
    <row r="1317" spans="1:7" x14ac:dyDescent="0.2">
      <c r="A1317" s="2" t="str">
        <f>"9788120350380"</f>
        <v>9788120350380</v>
      </c>
      <c r="B1317" s="1">
        <v>8.77</v>
      </c>
      <c r="C1317" s="1" t="str">
        <f>"USD"</f>
        <v>USD</v>
      </c>
      <c r="D1317" s="1" t="str">
        <f>"2014"</f>
        <v>2014</v>
      </c>
      <c r="E1317" s="1" t="str">
        <f>"Das"</f>
        <v>Das</v>
      </c>
      <c r="F1317" s="1" t="str">
        <f>"jahanadib"</f>
        <v>jahanadib</v>
      </c>
      <c r="G1317" s="1" t="str">
        <f>"OTHER BASIC SCIENCES"</f>
        <v>OTHER BASIC SCIENCES</v>
      </c>
    </row>
    <row r="1318" spans="1:7" x14ac:dyDescent="0.2">
      <c r="A1318" s="2" t="str">
        <f>"Rainforests (Panoramic Vision)"</f>
        <v>Rainforests (Panoramic Vision)</v>
      </c>
      <c r="B1318" s="1" t="str">
        <f>"9781905573080"</f>
        <v>9781905573080</v>
      </c>
      <c r="C1318" s="1">
        <v>18.75</v>
      </c>
      <c r="D1318" s="1" t="str">
        <f>"USD"</f>
        <v>USD</v>
      </c>
      <c r="E1318" s="1" t="str">
        <f>"2006"</f>
        <v>2006</v>
      </c>
      <c r="F1318" s="1" t="str">
        <f>"Patrick Hook"</f>
        <v>Patrick Hook</v>
      </c>
      <c r="G1318" s="1" t="str">
        <f>"bookcity"</f>
        <v>bookcity</v>
      </c>
    </row>
    <row r="1319" spans="1:7" x14ac:dyDescent="0.2">
      <c r="A1319" s="2" t="str">
        <f>"Regulatory Toxicology: Essentially Practical Aspects"</f>
        <v>Regulatory Toxicology: Essentially Practical Aspects</v>
      </c>
      <c r="B1319" s="1" t="str">
        <f>"9788184874174"</f>
        <v>9788184874174</v>
      </c>
      <c r="C1319" s="1">
        <v>48.97</v>
      </c>
      <c r="D1319" s="1" t="str">
        <f>"GBP"</f>
        <v>GBP</v>
      </c>
      <c r="E1319" s="1" t="str">
        <f>"2016"</f>
        <v>2016</v>
      </c>
      <c r="F1319" s="1" t="str">
        <f>"Sengupta"</f>
        <v>Sengupta</v>
      </c>
      <c r="G1319" s="1" t="str">
        <f>"jahanadib"</f>
        <v>jahanadib</v>
      </c>
    </row>
    <row r="1320" spans="1:7" x14ac:dyDescent="0.2">
      <c r="A1320" s="2" t="str">
        <f>"Remarkable Plants: Five-Year Journal"</f>
        <v>Remarkable Plants: Five-Year Journal</v>
      </c>
      <c r="B1320" s="1" t="str">
        <f>"9780500420287"</f>
        <v>9780500420287</v>
      </c>
      <c r="C1320" s="1">
        <v>18.75</v>
      </c>
      <c r="D1320" s="1" t="str">
        <f>"USD"</f>
        <v>USD</v>
      </c>
      <c r="E1320" s="1" t="str">
        <f>"2016"</f>
        <v>2016</v>
      </c>
      <c r="F1320" s="1" t="str">
        <f>"Royal Botanic Garden"</f>
        <v>Royal Botanic Garden</v>
      </c>
      <c r="G1320" s="1" t="str">
        <f t="shared" ref="G1320:G1329" si="38">"bookcity"</f>
        <v>bookcity</v>
      </c>
    </row>
    <row r="1321" spans="1:7" x14ac:dyDescent="0.2">
      <c r="A1321" s="2" t="str">
        <f>"RHS Encyclopedia Of Garden Design"</f>
        <v>RHS Encyclopedia Of Garden Design</v>
      </c>
      <c r="B1321" s="1" t="str">
        <f>"9780241286135"</f>
        <v>9780241286135</v>
      </c>
      <c r="C1321" s="1">
        <v>49.5</v>
      </c>
      <c r="D1321" s="1" t="str">
        <f>"USD"</f>
        <v>USD</v>
      </c>
      <c r="E1321" s="1" t="str">
        <f>"2017"</f>
        <v>2017</v>
      </c>
      <c r="F1321" s="1" t="str">
        <f>"Chris Young"</f>
        <v>Chris Young</v>
      </c>
      <c r="G1321" s="1" t="str">
        <f t="shared" si="38"/>
        <v>bookcity</v>
      </c>
    </row>
    <row r="1322" spans="1:7" x14ac:dyDescent="0.2">
      <c r="A1322" s="2" t="str">
        <f>"RHS Genealogy for Gardeners: Plant Families Explored &amp; Explained"</f>
        <v>RHS Genealogy for Gardeners: Plant Families Explored &amp; Explained</v>
      </c>
      <c r="B1322" s="1" t="str">
        <f>"9781784723804"</f>
        <v>9781784723804</v>
      </c>
      <c r="C1322" s="1">
        <v>13.49</v>
      </c>
      <c r="D1322" s="1" t="str">
        <f>"GBP"</f>
        <v>GBP</v>
      </c>
      <c r="E1322" s="1" t="str">
        <f>"2017"</f>
        <v>2017</v>
      </c>
      <c r="F1322" s="1" t="str">
        <f>"Dr Ross Bayton"</f>
        <v>Dr Ross Bayton</v>
      </c>
      <c r="G1322" s="1" t="str">
        <f t="shared" si="38"/>
        <v>bookcity</v>
      </c>
    </row>
    <row r="1323" spans="1:7" x14ac:dyDescent="0.2">
      <c r="A1323" s="2" t="str">
        <f>"RHS How To Garden If You're New To Gardening"</f>
        <v>RHS How To Garden If You're New To Gardening</v>
      </c>
      <c r="B1323" s="1" t="str">
        <f>"9780241336656"</f>
        <v>9780241336656</v>
      </c>
      <c r="C1323" s="1">
        <v>15.29</v>
      </c>
      <c r="D1323" s="1" t="str">
        <f>"GBP"</f>
        <v>GBP</v>
      </c>
      <c r="E1323" s="1" t="str">
        <f>"2018"</f>
        <v>2018</v>
      </c>
      <c r="F1323" s="1" t="str">
        <f>"DK"</f>
        <v>DK</v>
      </c>
      <c r="G1323" s="1" t="str">
        <f t="shared" si="38"/>
        <v>bookcity</v>
      </c>
    </row>
    <row r="1324" spans="1:7" x14ac:dyDescent="0.2">
      <c r="A1324" s="2" t="str">
        <f>"Ripley's Believe It Or Not! 2016"</f>
        <v>Ripley's Believe It Or Not! 2016</v>
      </c>
      <c r="B1324" s="1" t="str">
        <f>"9781847947529"</f>
        <v>9781847947529</v>
      </c>
      <c r="C1324" s="1">
        <v>4.5</v>
      </c>
      <c r="D1324" s="1" t="str">
        <f>"GBP"</f>
        <v>GBP</v>
      </c>
      <c r="E1324" s="1" t="str">
        <f>"2015"</f>
        <v>2015</v>
      </c>
      <c r="F1324" s="1" t="str">
        <f>"Seal,Rebecca"</f>
        <v>Seal,Rebecca</v>
      </c>
      <c r="G1324" s="1" t="str">
        <f t="shared" si="38"/>
        <v>bookcity</v>
      </c>
    </row>
    <row r="1325" spans="1:7" x14ac:dyDescent="0.2">
      <c r="A1325" s="2" t="str">
        <f>"Samsung Galaxy TabTM For Dummies"</f>
        <v>Samsung Galaxy TabTM For Dummies</v>
      </c>
      <c r="B1325" s="1" t="str">
        <f>"9781118024454"</f>
        <v>9781118024454</v>
      </c>
      <c r="C1325" s="1">
        <v>18.75</v>
      </c>
      <c r="D1325" s="1" t="str">
        <f>"USD"</f>
        <v>USD</v>
      </c>
      <c r="E1325" s="1" t="str">
        <f>"2011"</f>
        <v>2011</v>
      </c>
      <c r="F1325" s="1" t="str">
        <f>"Gookin"</f>
        <v>Gookin</v>
      </c>
      <c r="G1325" s="1" t="str">
        <f t="shared" si="38"/>
        <v>bookcity</v>
      </c>
    </row>
    <row r="1326" spans="1:7" x14ac:dyDescent="0.2">
      <c r="A1326" s="2" t="str">
        <f>"Science"</f>
        <v>Science</v>
      </c>
      <c r="B1326" s="1" t="str">
        <f>"9780241240472"</f>
        <v>9780241240472</v>
      </c>
      <c r="C1326" s="1">
        <v>49.5</v>
      </c>
      <c r="D1326" s="1" t="str">
        <f>"USD"</f>
        <v>USD</v>
      </c>
      <c r="E1326" s="1" t="str">
        <f>"2000"</f>
        <v>2000</v>
      </c>
      <c r="F1326" s="1" t="str">
        <f>"D. W. Hill"</f>
        <v>D. W. Hill</v>
      </c>
      <c r="G1326" s="1" t="str">
        <f t="shared" si="38"/>
        <v>bookcity</v>
      </c>
    </row>
    <row r="1327" spans="1:7" x14ac:dyDescent="0.2">
      <c r="A1327" s="2" t="str">
        <f>"SCIENCE BOOK"</f>
        <v>SCIENCE BOOK</v>
      </c>
      <c r="B1327" s="1" t="str">
        <f>"9781409350156"</f>
        <v>9781409350156</v>
      </c>
      <c r="C1327" s="1">
        <v>28</v>
      </c>
      <c r="D1327" s="1" t="str">
        <f>"USD"</f>
        <v>USD</v>
      </c>
      <c r="E1327" s="1" t="str">
        <f>"2014"</f>
        <v>2014</v>
      </c>
      <c r="F1327" s="1" t="str">
        <f>"Aurel,Marc"</f>
        <v>Aurel,Marc</v>
      </c>
      <c r="G1327" s="1" t="str">
        <f t="shared" si="38"/>
        <v>bookcity</v>
      </c>
    </row>
    <row r="1328" spans="1:7" x14ac:dyDescent="0.2">
      <c r="A1328" s="2" t="str">
        <f>"Science But Not As We Know It"</f>
        <v>Science But Not As We Know It</v>
      </c>
      <c r="B1328" s="1" t="str">
        <f>"9780241184196"</f>
        <v>9780241184196</v>
      </c>
      <c r="C1328" s="1">
        <v>8.99</v>
      </c>
      <c r="D1328" s="1" t="str">
        <f>"GBP"</f>
        <v>GBP</v>
      </c>
      <c r="E1328" s="1" t="str">
        <f>"2015"</f>
        <v>2015</v>
      </c>
      <c r="F1328" s="1" t="str">
        <f>"Gilliland,Ben"</f>
        <v>Gilliland,Ben</v>
      </c>
      <c r="G1328" s="1" t="str">
        <f t="shared" si="38"/>
        <v>bookcity</v>
      </c>
    </row>
    <row r="1329" spans="1:10" x14ac:dyDescent="0.2">
      <c r="A1329" s="2" t="str">
        <f>"science year by year"</f>
        <v>science year by year</v>
      </c>
      <c r="B1329" s="1" t="str">
        <f>"9780241212264"</f>
        <v>9780241212264</v>
      </c>
      <c r="C1329" s="1">
        <v>15.29</v>
      </c>
      <c r="D1329" s="1" t="str">
        <f>"GBP"</f>
        <v>GBP</v>
      </c>
      <c r="E1329" s="1" t="str">
        <f>"2017"</f>
        <v>2017</v>
      </c>
      <c r="F1329" s="1" t="str">
        <f>"DK"</f>
        <v>DK</v>
      </c>
      <c r="G1329" s="1" t="str">
        <f t="shared" si="38"/>
        <v>bookcity</v>
      </c>
    </row>
    <row r="1330" spans="1:10" x14ac:dyDescent="0.2">
      <c r="A1330" s="2" t="str">
        <f>"Signaling Mechanisms Regulating T Cell Diversity and Function (Methods in Signal Transduction Series)"</f>
        <v>Signaling Mechanisms Regulating T Cell Diversity and Function (Methods in Signal Transduction Series)</v>
      </c>
      <c r="B1330" s="1" t="str">
        <f>"9781498705080"</f>
        <v>9781498705080</v>
      </c>
      <c r="C1330" s="1">
        <v>69.290000000000006</v>
      </c>
      <c r="D1330" s="1" t="str">
        <f>"GBP"</f>
        <v>GBP</v>
      </c>
      <c r="E1330" s="1" t="str">
        <f>"2017"</f>
        <v>2017</v>
      </c>
      <c r="F1330" s="1" t="str">
        <f>"SOBOLOFF,KAPPES"</f>
        <v>SOBOLOFF,KAPPES</v>
      </c>
      <c r="G1330" s="1" t="str">
        <f>"sal"</f>
        <v>sal</v>
      </c>
    </row>
    <row r="1331" spans="1:10" x14ac:dyDescent="0.2">
      <c r="A1331" s="2" t="str">
        <f>"Smithsonian Science , 2nd Edition                  "</f>
        <v xml:space="preserve">Smithsonian Science , 2nd Edition                  </v>
      </c>
      <c r="B1331" s="1" t="str">
        <f>"9781465454201"</f>
        <v>9781465454201</v>
      </c>
      <c r="C1331" s="1">
        <v>45</v>
      </c>
      <c r="D1331" s="1" t="str">
        <f>"USD"</f>
        <v>USD</v>
      </c>
      <c r="E1331" s="1" t="str">
        <f>"2016"</f>
        <v>2016</v>
      </c>
      <c r="F1331" s="1" t="str">
        <f>"Robert Dinwiddie "</f>
        <v xml:space="preserve">Robert Dinwiddie </v>
      </c>
      <c r="G1331" s="1" t="str">
        <f>"bookcity"</f>
        <v>bookcity</v>
      </c>
    </row>
    <row r="1332" spans="1:10" x14ac:dyDescent="0.2">
      <c r="A1332" s="2" t="str">
        <f>"STORY OF NATURAL SCIENCE"</f>
        <v>STORY OF NATURAL SCIENCE</v>
      </c>
      <c r="B1332" s="1" t="str">
        <f>"9783833152481"</f>
        <v>9783833152481</v>
      </c>
      <c r="C1332" s="1">
        <v>2.85</v>
      </c>
      <c r="D1332" s="1" t="str">
        <f>"EUR"</f>
        <v>EUR</v>
      </c>
      <c r="E1332" s="1" t="str">
        <f>"2010"</f>
        <v>2010</v>
      </c>
      <c r="F1332" s="1" t="str">
        <f>"R.R. SUBRAMANIAN, A"</f>
        <v>R.R. SUBRAMANIAN, A</v>
      </c>
      <c r="G1332" s="1" t="str">
        <f>"AsarBartar"</f>
        <v>AsarBartar</v>
      </c>
    </row>
    <row r="1333" spans="1:10" x14ac:dyDescent="0.2">
      <c r="A1333" s="2" t="str">
        <f>"The Bonsai Beginner's Bible"</f>
        <v>The Bonsai Beginner's Bible</v>
      </c>
      <c r="B1333" s="1" t="str">
        <f>"9781784723699"</f>
        <v>9781784723699</v>
      </c>
      <c r="C1333" s="1">
        <v>11.69</v>
      </c>
      <c r="D1333" s="1" t="str">
        <f>"GBP"</f>
        <v>GBP</v>
      </c>
      <c r="E1333" s="1" t="str">
        <f>"2018"</f>
        <v>2018</v>
      </c>
      <c r="F1333" s="1" t="str">
        <f>"Peter Chan"</f>
        <v>Peter Chan</v>
      </c>
      <c r="G1333" s="1" t="str">
        <f>"bookcity"</f>
        <v>bookcity</v>
      </c>
    </row>
    <row r="1334" spans="1:10" x14ac:dyDescent="0.2">
      <c r="A1334" s="2" t="str">
        <f>"THE GARDENER'S IRIS BOOK"</f>
        <v>THE GARDENER'S IRIS BOOK</v>
      </c>
      <c r="B1334" s="1" t="str">
        <f>"9781561582402"</f>
        <v>9781561582402</v>
      </c>
      <c r="C1334" s="1">
        <v>13.25</v>
      </c>
      <c r="D1334" s="1" t="str">
        <f>"USD"</f>
        <v>USD</v>
      </c>
      <c r="E1334" s="1" t="str">
        <f>"2002"</f>
        <v>2002</v>
      </c>
      <c r="F1334" s="1" t="str">
        <f>"Shear,william"</f>
        <v>Shear,william</v>
      </c>
      <c r="G1334" s="1" t="str">
        <f>"bookcity"</f>
        <v>bookcity</v>
      </c>
    </row>
    <row r="1335" spans="1:10" x14ac:dyDescent="0.2">
      <c r="A1335" s="2" t="str">
        <f>"The Genus Syzygium: Syzygium cumini and Other Underutilized Species (Traditional Herbal Medicines for Modern Times)"</f>
        <v>The Genus Syzygium: Syzygium cumini and Other Underutilized Species (Traditional Herbal Medicines for Modern Times)</v>
      </c>
      <c r="B1335" s="1" t="str">
        <f>"9781482249729"</f>
        <v>9781482249729</v>
      </c>
      <c r="C1335" s="1">
        <v>85.5</v>
      </c>
      <c r="D1335" s="1" t="str">
        <f>"GBP"</f>
        <v>GBP</v>
      </c>
      <c r="E1335" s="1" t="str">
        <f>"2017"</f>
        <v>2017</v>
      </c>
      <c r="F1335" s="1" t="str">
        <f>"Nair"</f>
        <v>Nair</v>
      </c>
      <c r="G1335" s="1" t="str">
        <f>"sal"</f>
        <v>sal</v>
      </c>
    </row>
    <row r="1336" spans="1:10" x14ac:dyDescent="0.2">
      <c r="A1336" s="2" t="str">
        <f>"The portable Darwin"</f>
        <v>The portable Darwin</v>
      </c>
      <c r="B1336" s="1" t="str">
        <f>"9780140151091"</f>
        <v>9780140151091</v>
      </c>
      <c r="C1336" s="1">
        <v>29.25</v>
      </c>
      <c r="D1336" s="1" t="str">
        <f>"USD"</f>
        <v>USD</v>
      </c>
      <c r="E1336" s="1" t="str">
        <f>"2016"</f>
        <v>2016</v>
      </c>
      <c r="F1336" s="1" t="str">
        <f>"DARWIN, CHARLES"</f>
        <v>DARWIN, CHARLES</v>
      </c>
      <c r="G1336" s="1" t="str">
        <f>"bookcity"</f>
        <v>bookcity</v>
      </c>
    </row>
    <row r="1337" spans="1:10" x14ac:dyDescent="0.2">
      <c r="A1337" s="2" t="str">
        <f>"Top 10 of Everything 2018"</f>
        <v>Top 10 of Everything 2018</v>
      </c>
      <c r="B1337" s="1" t="str">
        <f>"9780600635147"</f>
        <v>9780600635147</v>
      </c>
      <c r="C1337" s="1">
        <v>13.49</v>
      </c>
      <c r="D1337" s="1" t="str">
        <f>"GBP"</f>
        <v>GBP</v>
      </c>
      <c r="E1337" s="1" t="str">
        <f>"2017"</f>
        <v>2017</v>
      </c>
      <c r="F1337" s="1" t="str">
        <f>"Paul Terry"</f>
        <v>Paul Terry</v>
      </c>
      <c r="G1337" s="1" t="str">
        <f>"bookcity"</f>
        <v>bookcity</v>
      </c>
    </row>
    <row r="1338" spans="1:10" x14ac:dyDescent="0.2">
      <c r="A1338" s="2" t="str">
        <f>"Trees"</f>
        <v>Trees</v>
      </c>
      <c r="B1338" s="1" t="str">
        <f>"9788055600765"</f>
        <v>9788055600765</v>
      </c>
      <c r="C1338" s="1">
        <v>48.75</v>
      </c>
      <c r="D1338" s="1" t="str">
        <f>"USD"</f>
        <v>USD</v>
      </c>
      <c r="E1338" s="1" t="str">
        <f>"2014"</f>
        <v>2014</v>
      </c>
      <c r="F1338" s="1" t="str">
        <f>"Briffard,Chef Eric"</f>
        <v>Briffard,Chef Eric</v>
      </c>
      <c r="G1338" s="1" t="str">
        <f>"bookcity"</f>
        <v>bookcity</v>
      </c>
    </row>
    <row r="1339" spans="1:10" x14ac:dyDescent="0.2">
      <c r="A1339" s="2" t="str">
        <f>"Tumors and Cancers: Central and Peripheral Nervous Systems (Pocket Guides to Biomedical Sciences)"</f>
        <v>Tumors and Cancers: Central and Peripheral Nervous Systems (Pocket Guides to Biomedical Sciences)</v>
      </c>
      <c r="B1339" s="1" t="str">
        <f>"9781498729697"</f>
        <v>9781498729697</v>
      </c>
      <c r="C1339" s="1">
        <v>27.89</v>
      </c>
      <c r="D1339" s="1" t="str">
        <f>"GBP"</f>
        <v>GBP</v>
      </c>
      <c r="E1339" s="1" t="str">
        <f>"2017"</f>
        <v>2017</v>
      </c>
      <c r="F1339" s="1" t="str">
        <f>"LIU"</f>
        <v>LIU</v>
      </c>
      <c r="G1339" s="1" t="str">
        <f>"sal"</f>
        <v>sal</v>
      </c>
    </row>
    <row r="1340" spans="1:10" x14ac:dyDescent="0.2">
      <c r="A1340" s="2" t="str">
        <f>"ULTIMATE GUIDE TO ROSES"</f>
        <v>ULTIMATE GUIDE TO ROSES</v>
      </c>
      <c r="B1340" s="1" t="str">
        <f>"9781445456782"</f>
        <v>9781445456782</v>
      </c>
      <c r="C1340" s="1">
        <v>6.25</v>
      </c>
      <c r="D1340" s="1" t="str">
        <f>"USD"</f>
        <v>USD</v>
      </c>
      <c r="E1340" s="1" t="str">
        <f>"2012"</f>
        <v>2012</v>
      </c>
      <c r="F1340" s="1" t="str">
        <f>"Alighier,Dante"</f>
        <v>Alighier,Dante</v>
      </c>
      <c r="G1340" s="1" t="str">
        <f>"bookcity"</f>
        <v>bookcity</v>
      </c>
    </row>
    <row r="1341" spans="1:10" x14ac:dyDescent="0.2">
      <c r="A1341" s="2" t="str">
        <f>"useless science fact-o-pedia"</f>
        <v>useless science fact-o-pedia</v>
      </c>
      <c r="B1341" s="1" t="str">
        <f>"9780007927791"</f>
        <v>9780007927791</v>
      </c>
      <c r="C1341" s="1">
        <v>10.5</v>
      </c>
      <c r="D1341" s="1" t="str">
        <f>"USD"</f>
        <v>USD</v>
      </c>
      <c r="E1341" s="1" t="str">
        <f>"2012"</f>
        <v>2012</v>
      </c>
      <c r="F1341" s="1" t="str">
        <f>"Allan Poe,Edgar"</f>
        <v>Allan Poe,Edgar</v>
      </c>
      <c r="G1341" s="1" t="str">
        <f>"bookcity"</f>
        <v>bookcity</v>
      </c>
    </row>
    <row r="1342" spans="1:10" x14ac:dyDescent="0.2">
      <c r="A1342" s="2" t="str">
        <f>"Very Victorian Passion: The Orchid Paintings of John Day"</f>
        <v>Very Victorian Passion: The Orchid Paintings of John Day</v>
      </c>
      <c r="B1342" s="1" t="str">
        <f>"9780500970157"</f>
        <v>9780500970157</v>
      </c>
      <c r="C1342" s="1">
        <v>23.75</v>
      </c>
      <c r="D1342" s="1" t="str">
        <f>"USD"</f>
        <v>USD</v>
      </c>
      <c r="E1342" s="1" t="str">
        <f>"2005"</f>
        <v>2005</v>
      </c>
      <c r="F1342" s="1" t="str">
        <f>"Phillip Cribb"</f>
        <v>Phillip Cribb</v>
      </c>
      <c r="G1342" s="1" t="str">
        <f>"bookcity"</f>
        <v>bookcity</v>
      </c>
    </row>
    <row r="1343" spans="1:10" x14ac:dyDescent="0.2">
      <c r="A1343" s="2" t="str">
        <f>"Victoria Flower Style"</f>
        <v>Victoria Flower Style</v>
      </c>
      <c r="B1343" s="1" t="str">
        <f>"9781588166319"</f>
        <v>9781588166319</v>
      </c>
      <c r="C1343" s="1">
        <v>9.5</v>
      </c>
      <c r="D1343" s="1" t="str">
        <f>"USD"</f>
        <v>USD</v>
      </c>
      <c r="E1343" s="1" t="str">
        <f>"2008"</f>
        <v>2008</v>
      </c>
      <c r="F1343" s="1" t="str">
        <f>"Wagner,Diane"</f>
        <v>Wagner,Diane</v>
      </c>
      <c r="G1343" s="1" t="str">
        <f>"bookcity"</f>
        <v>bookcity</v>
      </c>
    </row>
    <row r="1344" spans="1:10" ht="15" thickBot="1" x14ac:dyDescent="0.25">
      <c r="A1344" s="4" t="str">
        <f>"What Makes You Clever: The Puzzle of Intelligence"</f>
        <v>What Makes You Clever: The Puzzle of Intelligence</v>
      </c>
      <c r="B1344" s="5" t="str">
        <f>"9789814513043"</f>
        <v>9789814513043</v>
      </c>
      <c r="C1344" s="5">
        <v>25.6</v>
      </c>
      <c r="D1344" s="5" t="str">
        <f>"GBP"</f>
        <v>GBP</v>
      </c>
      <c r="E1344" s="5" t="str">
        <f>"2014"</f>
        <v>2014</v>
      </c>
      <c r="F1344" s="5" t="str">
        <f>"Derek Partridge"</f>
        <v>Derek Partridge</v>
      </c>
      <c r="G1344" s="5" t="str">
        <f>"AsarBartar"</f>
        <v>AsarBartar</v>
      </c>
      <c r="H1344" s="5"/>
      <c r="I1344" s="5"/>
      <c r="J1344" s="6"/>
    </row>
    <row r="1345" spans="1:10" x14ac:dyDescent="0.2">
      <c r="A1345" s="8"/>
      <c r="B1345" s="8"/>
      <c r="C1345" s="8"/>
      <c r="D1345" s="8"/>
      <c r="E1345" s="8"/>
      <c r="F1345" s="8"/>
      <c r="G1345" s="8"/>
      <c r="H1345" s="8"/>
      <c r="I1345" s="8"/>
      <c r="J1345" s="9"/>
    </row>
  </sheetData>
  <mergeCells count="3">
    <mergeCell ref="A1237:J1238"/>
    <mergeCell ref="A1:J2"/>
    <mergeCell ref="A147:J148"/>
  </mergeCells>
  <pageMargins left="0.7" right="0.7" top="0.75" bottom="0.75" header="0.3" footer="0.3"/>
  <pageSetup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darband</dc:creator>
  <cp:lastModifiedBy>Ali</cp:lastModifiedBy>
  <dcterms:created xsi:type="dcterms:W3CDTF">2018-04-18T04:55:09Z</dcterms:created>
  <dcterms:modified xsi:type="dcterms:W3CDTF">2018-04-21T07:28:52Z</dcterms:modified>
</cp:coreProperties>
</file>